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245" tabRatio="598" activeTab="0"/>
  </bookViews>
  <sheets>
    <sheet name="Ingresos" sheetId="1" r:id="rId1"/>
    <sheet name="Just. Ingresos" sheetId="2" r:id="rId2"/>
    <sheet name="JUSTIFICACION EGRESOS" sheetId="3" r:id="rId3"/>
    <sheet name="Prog-I Detalle" sheetId="4" r:id="rId4"/>
    <sheet name="Prog-II Detalle" sheetId="5" r:id="rId5"/>
    <sheet name="Prog-III Detalle" sheetId="6" r:id="rId6"/>
    <sheet name="Prog-IV Detalle" sheetId="7" r:id="rId7"/>
    <sheet name="Gral y X Prog." sheetId="8" r:id="rId8"/>
    <sheet name="Eg. X Partida" sheetId="9" r:id="rId9"/>
    <sheet name="Gral. de Egresos" sheetId="10" r:id="rId10"/>
    <sheet name="Anexo 6" sheetId="11" r:id="rId11"/>
    <sheet name="Cuadro 5" sheetId="12" r:id="rId12"/>
    <sheet name="ORIGEN Y APLICACION" sheetId="13" r:id="rId13"/>
    <sheet name="Indice" sheetId="14" r:id="rId14"/>
    <sheet name="Hoja2" sheetId="15" r:id="rId15"/>
    <sheet name="Hoja3" sheetId="16" r:id="rId16"/>
    <sheet name="Hoja1" sheetId="17" r:id="rId17"/>
    <sheet name="Hoja4" sheetId="18" r:id="rId18"/>
    <sheet name="Hoja5" sheetId="19" r:id="rId19"/>
    <sheet name="Hoja6" sheetId="20" r:id="rId20"/>
  </sheets>
  <externalReferences>
    <externalReference r:id="rId23"/>
  </externalReferences>
  <definedNames>
    <definedName name="_xlnm.Print_Area" localSheetId="10">'Anexo 6'!$A$1:$G$24</definedName>
    <definedName name="_xlnm.Print_Area" localSheetId="8">'Eg. X Partida'!$A$1:$G$29</definedName>
    <definedName name="_xlnm.Print_Area" localSheetId="7">'Gral y X Prog.'!$A$1:$L$90</definedName>
    <definedName name="_xlnm.Print_Area" localSheetId="9">'Gral. de Egresos'!$A$1:$D$26</definedName>
    <definedName name="_xlnm.Print_Area" localSheetId="0">'Ingresos'!$A$1:$D$16</definedName>
    <definedName name="_xlnm.Print_Area" localSheetId="1">'Just. Ingresos'!$A$1:$F$30</definedName>
    <definedName name="_xlnm.Print_Area" localSheetId="2">'JUSTIFICACION EGRESOS'!$A$1:$I$212</definedName>
    <definedName name="_xlnm.Print_Area" localSheetId="12">'ORIGEN Y APLICACION'!$A$1:$H$82</definedName>
    <definedName name="_xlnm.Print_Area" localSheetId="3">'Prog-I Detalle'!$A$1:$D$20</definedName>
    <definedName name="_xlnm.Print_Area" localSheetId="4">'Prog-II Detalle'!$A$1:$D$54</definedName>
    <definedName name="_xlnm.Print_Area" localSheetId="5">'Prog-III Detalle'!$A$1:$D$47</definedName>
    <definedName name="_xlnm.Print_Area" localSheetId="6">'Prog-IV Detalle'!$A$1:$D$24</definedName>
    <definedName name="_xlnm.Print_Titles" localSheetId="7">'Gral y X Prog.'!$A:$L,'Gral y X Prog.'!$1:$7</definedName>
    <definedName name="_xlnm.Print_Titles" localSheetId="13">'Indice'!$1:$5</definedName>
    <definedName name="_xlnm.Print_Titles" localSheetId="1">'Just. Ingresos'!$A:$F,'Just. Ingresos'!$1:$4</definedName>
    <definedName name="_xlnm.Print_Titles" localSheetId="2">'JUSTIFICACION EGRESOS'!$A:$I,'JUSTIFICACION EGRESOS'!$1:$4</definedName>
    <definedName name="_xlnm.Print_Titles" localSheetId="12">'ORIGEN Y APLICACION'!$A:$H,'ORIGEN Y APLICACION'!$1:$7</definedName>
    <definedName name="_xlnm.Print_Titles" localSheetId="3">'Prog-I Detalle'!$1:$5</definedName>
    <definedName name="_xlnm.Print_Titles" localSheetId="4">'Prog-II Detalle'!$1:$5</definedName>
    <definedName name="_xlnm.Print_Titles" localSheetId="5">'Prog-III Detalle'!$A:$D,'Prog-III Detalle'!$1:$5</definedName>
    <definedName name="_xlnm.Print_Titles" localSheetId="6">'Prog-IV Detalle'!$1:$5</definedName>
  </definedNames>
  <calcPr fullCalcOnLoad="1"/>
</workbook>
</file>

<file path=xl/comments1.xml><?xml version="1.0" encoding="utf-8"?>
<comments xmlns="http://schemas.openxmlformats.org/spreadsheetml/2006/main">
  <authors>
    <author>Rebeca Vasquez</author>
  </authors>
  <commentList>
    <comment ref="C10" authorId="0">
      <text>
        <r>
          <rPr>
            <b/>
            <sz val="9"/>
            <rFont val="Tahoma"/>
            <family val="2"/>
          </rPr>
          <t>Rebeca Vasquez:</t>
        </r>
        <r>
          <rPr>
            <sz val="9"/>
            <rFont val="Tahoma"/>
            <family val="2"/>
          </rPr>
          <t xml:space="preserve">
Transferencia Multas de Tránsito, monto pendiente 2018 (17.256.766,13)
Ajuste monto presupuestado Red de cuido (34.821.470,00)
</t>
        </r>
      </text>
    </comment>
  </commentList>
</comments>
</file>

<file path=xl/comments12.xml><?xml version="1.0" encoding="utf-8"?>
<comments xmlns="http://schemas.openxmlformats.org/spreadsheetml/2006/main">
  <authors>
    <author>Flor de Mar?a Alfaro</author>
  </authors>
  <commentList>
    <comment ref="A4" authorId="0">
      <text>
        <r>
          <rPr>
            <sz val="8"/>
            <rFont val="Tahoma"/>
            <family val="2"/>
          </rPr>
          <t xml:space="preserve">NO REMITIR RENGLONES SIN DATOS.
</t>
        </r>
      </text>
    </comment>
  </commentList>
</comments>
</file>

<file path=xl/sharedStrings.xml><?xml version="1.0" encoding="utf-8"?>
<sst xmlns="http://schemas.openxmlformats.org/spreadsheetml/2006/main" count="1042" uniqueCount="605">
  <si>
    <t>Mat y Productos Minerales y Asfálticos</t>
  </si>
  <si>
    <t>Equipo y Mob Edu, Deport y Recreativo.</t>
  </si>
  <si>
    <t>Otras Construc, adiciones y mejoras</t>
  </si>
  <si>
    <t>Transf corrientes organos desconcent</t>
  </si>
  <si>
    <t>Transf corr Inst. Desc. No Empresariales</t>
  </si>
  <si>
    <t>Transf corrientes Gobiernos Locales</t>
  </si>
  <si>
    <t>Trasnf Capital Instit decent no empres</t>
  </si>
  <si>
    <t>Amort Prést. Instit Des. No Empresariales</t>
  </si>
  <si>
    <t>Sumas Destino especifico sin asignación presupuestaria</t>
  </si>
  <si>
    <t>**,**,03,04,03</t>
  </si>
  <si>
    <t>Comisiones y Otros Gastos S/Prés. Inte</t>
  </si>
  <si>
    <t>Cuentas especiales</t>
  </si>
  <si>
    <t>Monto</t>
  </si>
  <si>
    <t>Comentarios</t>
  </si>
  <si>
    <t>DETALLE GENERAL DE INGRESOS</t>
  </si>
  <si>
    <t>DETALLE</t>
  </si>
  <si>
    <t>Total</t>
  </si>
  <si>
    <t>MUNICIPALIDAD DE SANTA ANA</t>
  </si>
  <si>
    <t>CÓDIGO</t>
  </si>
  <si>
    <t>NOMBRE DE LA CUENTA</t>
  </si>
  <si>
    <t>MONTO</t>
  </si>
  <si>
    <t>PROGRAMA II</t>
  </si>
  <si>
    <t>PROGRAMA I</t>
  </si>
  <si>
    <t>BIENES DURADEROS</t>
  </si>
  <si>
    <t>PROGRAMA III</t>
  </si>
  <si>
    <t>Bienes Duraderos</t>
  </si>
  <si>
    <t>Equipo de Transporte</t>
  </si>
  <si>
    <t>Eq. Y Prog. De Cómputo</t>
  </si>
  <si>
    <t>Servicios</t>
  </si>
  <si>
    <t>Materiales y Suministros</t>
  </si>
  <si>
    <t>Alimentos y Bebidas</t>
  </si>
  <si>
    <t>DETALLE GENERAL DE EGRESOS</t>
  </si>
  <si>
    <t>CUENTA</t>
  </si>
  <si>
    <t>PRESUPUESTO</t>
  </si>
  <si>
    <t>%</t>
  </si>
  <si>
    <t>TOTAL</t>
  </si>
  <si>
    <t>REMUNERACIONES</t>
  </si>
  <si>
    <t>SERVICIOS</t>
  </si>
  <si>
    <t>MATERIALES Y SUMINISTROS</t>
  </si>
  <si>
    <t>INTERESES Y COMISIONES</t>
  </si>
  <si>
    <t>TRANSFERENCIAS CORRIENTES</t>
  </si>
  <si>
    <t>TRANSFERENCIAS DE CAPITAL</t>
  </si>
  <si>
    <t>AMORTIZACIÓN</t>
  </si>
  <si>
    <t>SECCIÓN DE EGRESOS POR PARTIDA</t>
  </si>
  <si>
    <t>GENERAL Y POR PROGRAMA</t>
  </si>
  <si>
    <t xml:space="preserve">JUSTIFICACIÓN DE INGRESOS </t>
  </si>
  <si>
    <t>Superávit 10% Juntas de Educación.</t>
  </si>
  <si>
    <t>PROGRAMA I: ADMINISTRACION</t>
  </si>
  <si>
    <t>I</t>
  </si>
  <si>
    <t>Saldo de Partidas Específicas</t>
  </si>
  <si>
    <t>22</t>
  </si>
  <si>
    <t xml:space="preserve">TOTAL </t>
  </si>
  <si>
    <t>Firma del funcionario responsable</t>
  </si>
  <si>
    <t>CUADRO No. 5</t>
  </si>
  <si>
    <t>TRANSFERENCIAS CORRIENTES Y DE CAPITAL A FAVOR DE ENTIDADES PRIVADAS SIN FINES DE LUCRO</t>
  </si>
  <si>
    <t>Código de gasto</t>
  </si>
  <si>
    <t>NOMBRE DEL BENEFICIARIO CLASIFICADO SEGÚN PARTIDA Y GRUPO DE EGRESOS</t>
  </si>
  <si>
    <t>Cédula Jurídica (entidad privada)</t>
  </si>
  <si>
    <t>FUNDAMENTO LEGAL</t>
  </si>
  <si>
    <t>FINALIDAD DE LA TRANSFERENCIA</t>
  </si>
  <si>
    <t>Elaborado por: Rebeca Vásquez Herrera</t>
  </si>
  <si>
    <t>Anexo N°6 Aportes en especie para servicios y proyectos comunales</t>
  </si>
  <si>
    <t>PARTIDA</t>
  </si>
  <si>
    <t>TOTALES POR EL OBJETO DEL GASTO</t>
  </si>
  <si>
    <t>ACTIVOS FINANCIEROS</t>
  </si>
  <si>
    <t>CUENTAS ESPECIALES</t>
  </si>
  <si>
    <t>PROGRAMA II: Servicios Comunales</t>
  </si>
  <si>
    <t>PROGRAMA III: Inversiones</t>
  </si>
  <si>
    <t>TOTALES</t>
  </si>
  <si>
    <t xml:space="preserve">     </t>
  </si>
  <si>
    <t>CUADRO No. 1</t>
  </si>
  <si>
    <t>DETALLE DE ORIGEN Y APLICACIÓN DE RECURSOS ESPECÍFICOS</t>
  </si>
  <si>
    <t>INGRESO ESPECÍFICO</t>
  </si>
  <si>
    <t>CODIGO SEGÚN CLASIFICADOR DE INGRESOS</t>
  </si>
  <si>
    <t>APLICACIÓN</t>
  </si>
  <si>
    <t>Programa</t>
  </si>
  <si>
    <t>Act/Serv/Grupo</t>
  </si>
  <si>
    <t>Proyecto</t>
  </si>
  <si>
    <t>SECCIÓN DE EGRESOS DETALLADOS GENERAL Y POR PROGRAMA</t>
  </si>
  <si>
    <t>PROGRAMA I: Dirección y Administración General</t>
  </si>
  <si>
    <t>**,**,01,01,02</t>
  </si>
  <si>
    <t>**,**,01,04,99</t>
  </si>
  <si>
    <t>**,**,02,01,04</t>
  </si>
  <si>
    <t>**,**,02,02,03</t>
  </si>
  <si>
    <t>**,**,02,03,02</t>
  </si>
  <si>
    <t>**,**,05,01,02</t>
  </si>
  <si>
    <t>**,**,05,01,04</t>
  </si>
  <si>
    <t>**,**,05,01,05</t>
  </si>
  <si>
    <t>**,**,05,01,07</t>
  </si>
  <si>
    <t>**,**,05,02,01</t>
  </si>
  <si>
    <t>**,**,05,02,02</t>
  </si>
  <si>
    <t>**,**,05,02,99</t>
  </si>
  <si>
    <t>**,**,06,01,02</t>
  </si>
  <si>
    <t>**,**,06,01,03</t>
  </si>
  <si>
    <t>**,**,06,01,04</t>
  </si>
  <si>
    <t>**,**,07,01,03</t>
  </si>
  <si>
    <t>**,**,08,02,03</t>
  </si>
  <si>
    <t>**,**,09,02,02</t>
  </si>
  <si>
    <t>CODIGO</t>
  </si>
  <si>
    <t xml:space="preserve">MONTO </t>
  </si>
  <si>
    <t xml:space="preserve">TOTAL DE INGRESOS ANTES SUPERÁVIT </t>
  </si>
  <si>
    <t>3,3,1,0,00,00,0,0,000</t>
  </si>
  <si>
    <t>3,3,2,0,00,00,0,0,000</t>
  </si>
  <si>
    <t>TOTAL DE INGRESOS</t>
  </si>
  <si>
    <t>JUSTIFICACIÓN DE EGRESOS</t>
  </si>
  <si>
    <t>Servicios:</t>
  </si>
  <si>
    <t>Tintas, Pinturas y Diluyentes</t>
  </si>
  <si>
    <t>Remuneraciones</t>
  </si>
  <si>
    <t>II</t>
  </si>
  <si>
    <t>09</t>
  </si>
  <si>
    <t>IV</t>
  </si>
  <si>
    <t>3,3,0,0,00,00,0,0,000</t>
  </si>
  <si>
    <t>RECURSOS DE VIGENCIAS ANTERIORES</t>
  </si>
  <si>
    <t>Transferencias Corrientes</t>
  </si>
  <si>
    <t>Otros servicios de Gestión y Apoyo</t>
  </si>
  <si>
    <t>01</t>
  </si>
  <si>
    <t>02</t>
  </si>
  <si>
    <t>Edificios</t>
  </si>
  <si>
    <t>Programa IV: Part. Específicas</t>
  </si>
  <si>
    <t>PROGRAMA IV: Partidas Específicas</t>
  </si>
  <si>
    <t>Cuenta Presupuestaria</t>
  </si>
  <si>
    <t>Alquiler de Maquinaria, Equipo y Mob.</t>
  </si>
  <si>
    <t>Equipo y Mobiliario de Oficina</t>
  </si>
  <si>
    <t>Intereses y Comisiones</t>
  </si>
  <si>
    <t>INDICE</t>
  </si>
  <si>
    <t>Justificación de Egresos Programa I</t>
  </si>
  <si>
    <t>Justificación de Egresos Programa II</t>
  </si>
  <si>
    <t>Justificación de Egresos Programa III</t>
  </si>
  <si>
    <t>Detalle de General de Ingresos</t>
  </si>
  <si>
    <t>Sección de Egresos Detallados General y por Programa</t>
  </si>
  <si>
    <t>Detalle de Origen y Aplicación de Recursos Específicos</t>
  </si>
  <si>
    <t>Justificación de Egresos Programa IV</t>
  </si>
  <si>
    <t>Edificios:</t>
  </si>
  <si>
    <t>Vías de Comunicación:</t>
  </si>
  <si>
    <t>Justificación de los Ingresos</t>
  </si>
  <si>
    <t>Amortización</t>
  </si>
  <si>
    <t>Transferencias de Capital</t>
  </si>
  <si>
    <t>Sección de Egresos por Partida General y por Programa</t>
  </si>
  <si>
    <t>Vías de Comunicación Terrestre</t>
  </si>
  <si>
    <t>III</t>
  </si>
  <si>
    <t>PROGRAMA IV</t>
  </si>
  <si>
    <t>Juntas de educación, 10% impuesto territorial y 10% IBI, Leyes 7509 y 7729</t>
  </si>
  <si>
    <t>Equipamiento de la Escuela Municipal de Artes Integradas</t>
  </si>
  <si>
    <t>Transf. Corrientes Inst. Descent. no Empre.</t>
  </si>
  <si>
    <t>01,04,06,01,03</t>
  </si>
  <si>
    <t>Superávit Juntas de Educación</t>
  </si>
  <si>
    <t>Consejo de Seguridad Vial, art. 217, Ley 7331-93</t>
  </si>
  <si>
    <t>Seguridad Víal</t>
  </si>
  <si>
    <t>Gastos de sanidad, artículo 47 Ley 5412-73</t>
  </si>
  <si>
    <t>Fondo Ley Simplificación y Eficiencia Tributarias Ley Nº 8114</t>
  </si>
  <si>
    <t>Proyectos de la Persona Joven</t>
  </si>
  <si>
    <t>04</t>
  </si>
  <si>
    <t>Anexo Nº 6</t>
  </si>
  <si>
    <t>Aportes en especie para servicios y proyectos comunales.</t>
  </si>
  <si>
    <t>BENEFICIARIO</t>
  </si>
  <si>
    <t>TOTAL (Debe ser igual al Servicio 31: Aportes en especie para servicios y proyectos).</t>
  </si>
  <si>
    <t>Elaborado por Rebeca Vásquez Herrera</t>
  </si>
  <si>
    <t>Matrícula EMAI</t>
  </si>
  <si>
    <t>Cuadro Nº5. Transferencias corrientes y de capital a favor de entidades privadas sin fines de lucro</t>
  </si>
  <si>
    <t>Detalle Gastos Programa I</t>
  </si>
  <si>
    <t>Detalle Gastos Programa II</t>
  </si>
  <si>
    <t>Detalle Gastos Programa III</t>
  </si>
  <si>
    <t>Detalle Gastos Programa IV</t>
  </si>
  <si>
    <t>Maquinaria y Equipo Diverso</t>
  </si>
  <si>
    <t>Maderas y sus derivados</t>
  </si>
  <si>
    <t>Fondo del Impuesto sobre bienes inmuebles, 76% Ley Nº 7729</t>
  </si>
  <si>
    <t>Fondo de Parques Obras y Ornato</t>
  </si>
  <si>
    <t>Otros incentivos salariales</t>
  </si>
  <si>
    <t>10</t>
  </si>
  <si>
    <t>**,**,05,01,03</t>
  </si>
  <si>
    <t>Equipo de Comunicación</t>
  </si>
  <si>
    <t>**,**,02,03,01</t>
  </si>
  <si>
    <t>Materiales y productos Metálicos</t>
  </si>
  <si>
    <t>**,**,02,03,03</t>
  </si>
  <si>
    <t>**,**,01,03,02</t>
  </si>
  <si>
    <t>**,**,05,01,99</t>
  </si>
  <si>
    <t>04,02,00,05,02,02</t>
  </si>
  <si>
    <t>04,06,00,05,02,99</t>
  </si>
  <si>
    <t>**,**,00,03,99</t>
  </si>
  <si>
    <t>06</t>
  </si>
  <si>
    <t>05</t>
  </si>
  <si>
    <t>Detalle General de Egresos</t>
  </si>
  <si>
    <t>15</t>
  </si>
  <si>
    <t>21</t>
  </si>
  <si>
    <t>1,4,1,2,00,00,0,0,000</t>
  </si>
  <si>
    <t>Textiles y vestuarios</t>
  </si>
  <si>
    <t>Transporte dentro del país</t>
  </si>
  <si>
    <t>**,**,06,03,99</t>
  </si>
  <si>
    <t>Transferencias a terceras personas</t>
  </si>
  <si>
    <t>**,**,02,99,04</t>
  </si>
  <si>
    <t>**,**,01,05,01</t>
  </si>
  <si>
    <t>03</t>
  </si>
  <si>
    <t>**,**,05,01,01</t>
  </si>
  <si>
    <t>Equipo de Producción</t>
  </si>
  <si>
    <t>Servicios en ciencias económicas y sociales</t>
  </si>
  <si>
    <t>**,**,01,04,04</t>
  </si>
  <si>
    <t>Otros Fondos e inversión</t>
  </si>
  <si>
    <t>Construcción y Equipamiento del Cecudi Lindora</t>
  </si>
  <si>
    <t>Construcción de Hogar de Ancianos Ensueños de Oro</t>
  </si>
  <si>
    <t>03,01,00,05,01,99</t>
  </si>
  <si>
    <t>02,10,10,06,03,99</t>
  </si>
  <si>
    <t>Educacional Deportivo y Recreativo</t>
  </si>
  <si>
    <t>04,02,00,05,01,03</t>
  </si>
  <si>
    <t>Servicios Socials y Complementarios</t>
  </si>
  <si>
    <t>Parques y Ornato</t>
  </si>
  <si>
    <t>Servicios Sociales y Complementarios</t>
  </si>
  <si>
    <t>Prestaciones Legales</t>
  </si>
  <si>
    <t>**,**,06,03,01</t>
  </si>
  <si>
    <t>TRANSFERENCIAS CORRIENTES A GOBIERNOS LOCALES</t>
  </si>
  <si>
    <t>Otros proyectos</t>
  </si>
  <si>
    <t>Mantenimiento de edificios y locales</t>
  </si>
  <si>
    <t>Transferencias corrientes de Órganos Desconcentrados</t>
  </si>
  <si>
    <t>Código</t>
  </si>
  <si>
    <t>FODESAF Red de Cuido Construcción y Equipamiento</t>
  </si>
  <si>
    <t>FODESAF Red de Cuido Venta de Servicios</t>
  </si>
  <si>
    <t>**,**,01,08,01</t>
  </si>
  <si>
    <t>**,**,07,03,01</t>
  </si>
  <si>
    <t>Transferencia de capital a asociaciones</t>
  </si>
  <si>
    <t>Mantenimiento de Caminos y Calles</t>
  </si>
  <si>
    <t>23</t>
  </si>
  <si>
    <t>**,**,07,01,04</t>
  </si>
  <si>
    <t>Transferencia de capital a gobiernos locales</t>
  </si>
  <si>
    <t>Materiales y productos de plástico</t>
  </si>
  <si>
    <t>**,**,02,03,06</t>
  </si>
  <si>
    <t>Plan de lotificación</t>
  </si>
  <si>
    <t>04,01,00,02,03,02</t>
  </si>
  <si>
    <t>Comité Cantonal de Deportes y Recreación</t>
  </si>
  <si>
    <t>Art 62 Código Municipal</t>
  </si>
  <si>
    <t>Remodel e Instalac del piso cerámico del Salon Comunal de Brasil de Santa Ana, Distrito Brasil</t>
  </si>
  <si>
    <t>Equipo de transporte</t>
  </si>
  <si>
    <t>03,06,00,05,02,99</t>
  </si>
  <si>
    <t>03,02,00,05,02,02</t>
  </si>
  <si>
    <t>03,01,00,05,02,01</t>
  </si>
  <si>
    <t>1,4,0,0,00,00,0,0,000</t>
  </si>
  <si>
    <t>1,4,1,0,00,00,0,0,000</t>
  </si>
  <si>
    <t>TRANSFERENCIAS CORRIENTES DEL SECTOR PUBLICO</t>
  </si>
  <si>
    <t>Seguridad y vigilancia</t>
  </si>
  <si>
    <t>Fondo obras financiadas Impuesto Cemento</t>
  </si>
  <si>
    <t>Construcción y Equipamiento del Cecudi Salitral</t>
  </si>
  <si>
    <t>Fondo Recolección de Basura</t>
  </si>
  <si>
    <t>Servicio de Recolección de Basura</t>
  </si>
  <si>
    <t>**,**,01,08,08</t>
  </si>
  <si>
    <t>Mantenimiento y reparación equipo de cómputo</t>
  </si>
  <si>
    <t>**,**,01,04,03</t>
  </si>
  <si>
    <t>Información</t>
  </si>
  <si>
    <t>Calle la Caballeriza hacia Ruta 147</t>
  </si>
  <si>
    <t>Otros materiales de uso en la construcción</t>
  </si>
  <si>
    <t>**,**,02,03,04</t>
  </si>
  <si>
    <t>Materiales y productos eléctricos</t>
  </si>
  <si>
    <t>**,**,02,03,99</t>
  </si>
  <si>
    <t>**,**,02,04,01</t>
  </si>
  <si>
    <t>Herramienttas e instrumentos</t>
  </si>
  <si>
    <t>**,**,01,03,01</t>
  </si>
  <si>
    <t>**,**,02,99,06</t>
  </si>
  <si>
    <t>Materiales resguardo y seguridad</t>
  </si>
  <si>
    <t>**,**,05,99,03</t>
  </si>
  <si>
    <t>Bienes Intangibles</t>
  </si>
  <si>
    <t>Publicdad y propaganda</t>
  </si>
  <si>
    <t>Actividades de Capacitación</t>
  </si>
  <si>
    <t>**,**,01,07,01</t>
  </si>
  <si>
    <t>**,**,00,03,03</t>
  </si>
  <si>
    <t>Décimotercer mes</t>
  </si>
  <si>
    <t>**,**,00,04,01</t>
  </si>
  <si>
    <t>Contrib. Pat. al Seg. de Salud de la C.C.S.S.</t>
  </si>
  <si>
    <t>**,**,00,04,05</t>
  </si>
  <si>
    <t>Contribución Patronal Banco Pop</t>
  </si>
  <si>
    <t>**,**,00,05,01</t>
  </si>
  <si>
    <t>Contribución Pat. Seg Pensiones</t>
  </si>
  <si>
    <t>**,**,00,05,02</t>
  </si>
  <si>
    <t>Aporte Pat. Régimen Oblig Pensiones Complem.</t>
  </si>
  <si>
    <t>**,**,00,05,03</t>
  </si>
  <si>
    <t>Aporte Patronal Fondo Capitalización Lab.</t>
  </si>
  <si>
    <t>Bienes duraderos</t>
  </si>
  <si>
    <t>Servicios de Ingeniería</t>
  </si>
  <si>
    <t>03,07,00,05,03,01</t>
  </si>
  <si>
    <t>**,**,05,03,01</t>
  </si>
  <si>
    <t>Terrenos</t>
  </si>
  <si>
    <t>11</t>
  </si>
  <si>
    <t>12</t>
  </si>
  <si>
    <t>13</t>
  </si>
  <si>
    <t>25</t>
  </si>
  <si>
    <t>Superávit Libre 2018</t>
  </si>
  <si>
    <t>Superávit Específico Remanente 2018</t>
  </si>
  <si>
    <t>Superávit 2018  10% Juntas de Educación.</t>
  </si>
  <si>
    <t>Otras prestaciones</t>
  </si>
  <si>
    <t>02,23,05,01,02</t>
  </si>
  <si>
    <t>Compra de un vehiculo para la Policía Municipal. Recursos que se reciben de Multas de Tránsito.</t>
  </si>
  <si>
    <t>03,01,00,06,06,02</t>
  </si>
  <si>
    <t>Se recupera del Superávit Específico 2018. Se presupuesto en la partida de gasto Reintegro y Devoluciones ya que se debe de devolver el saldo del proyecto a FODESAF</t>
  </si>
  <si>
    <t>Construcción de escaleras de emergencia EMAI</t>
  </si>
  <si>
    <t>Se recupera el saldo del proyecto según solicitud del Ing. Eduardo Fallas</t>
  </si>
  <si>
    <t>Construcción Cancha de Tennis de Pozos</t>
  </si>
  <si>
    <t>Se recupera el saldo del proyecto según solicitud Gabriel Picado</t>
  </si>
  <si>
    <t>Colocación de grama sintética en Cancha Ciudadela La Intex</t>
  </si>
  <si>
    <t>Diseñor, elaboración de planos y Contrucción de baños Salón Comunal de Rio Oro</t>
  </si>
  <si>
    <t>03,01,00,01,04,03</t>
  </si>
  <si>
    <t>Construcción CECUDI Salitral, Recursos Muncipales</t>
  </si>
  <si>
    <t>Según solicitud presentada por el Ing, Eduardo Fallas</t>
  </si>
  <si>
    <t xml:space="preserve">Se recupera del Superávit Específico 2018 </t>
  </si>
  <si>
    <t>03,05,00,05,02,99</t>
  </si>
  <si>
    <t>Planta de tratamiento el INVU</t>
  </si>
  <si>
    <t>01,01,06,06,01</t>
  </si>
  <si>
    <t>Indemnizaciones</t>
  </si>
  <si>
    <t>Diseño y elaboración de planos y especificaciones técnicas para el Teatro EMAI</t>
  </si>
  <si>
    <t>Expropiación lote para acceso lote municipal enclavado en el INVU</t>
  </si>
  <si>
    <t>Según solicitud presentada por el Lic. Róger Venegas</t>
  </si>
  <si>
    <t>Mejoras y Construccion en Instalaciones Deportivas del Canton</t>
  </si>
  <si>
    <t>Construcciones y mejoras en instalaciones  deportivas del Canton</t>
  </si>
  <si>
    <t>Construcción Salon Parroquial en la comunidad de Matinilla, Distrito de Salitral</t>
  </si>
  <si>
    <t>Compra e instalacion de camaras de seguridad puente de Pozos (Túnel Ruta 27), Distrito de Pozos</t>
  </si>
  <si>
    <t>Arreglo calle Chirracal Etapa IV Distrito Salitral</t>
  </si>
  <si>
    <t>Construccion paradas bus en la Comunidad de Uruca, Distrito Uruca</t>
  </si>
  <si>
    <t>Mejoras al Salón Comunal de Piedades, Distrito Piedades</t>
  </si>
  <si>
    <t>Construcción y reparación de paradas de bus en la Uruca, Distrito Uruca</t>
  </si>
  <si>
    <t>Construcción cordón y caño en las Calles del Casco Central de la Comunidad de Santa Ana, Distrito Santa Ana</t>
  </si>
  <si>
    <t>Compra de tubería para canalización de aguas de calle principal de Salitral, Distrito de Salitral</t>
  </si>
  <si>
    <t>Compra de cámaras de vigilancia en el costado sur del puente de Pozos, Distrito de Pozos</t>
  </si>
  <si>
    <t>Instalación de estaciones de basureros, Distrito Uruca</t>
  </si>
  <si>
    <t>Compra de computadoras portátiles para las aulas del Salón Comunal de Piedades, Distrito de Piedades</t>
  </si>
  <si>
    <t>Compra de mesas y sillas para el Salón Comunal de La Promesa, Distrito de Brasil</t>
  </si>
  <si>
    <t>04,07,00,05,01,99</t>
  </si>
  <si>
    <t>04,06,00,02,03,02</t>
  </si>
  <si>
    <t>04,02,00,02,03,02</t>
  </si>
  <si>
    <t>04,01,00,05,02,01</t>
  </si>
  <si>
    <t>04,07,00,05,02,99</t>
  </si>
  <si>
    <t>04,02,00,02,03,06</t>
  </si>
  <si>
    <t>04,07,00,05,01,05</t>
  </si>
  <si>
    <t>04,07,00,05,01,04</t>
  </si>
  <si>
    <t>Ubicación contenedores de reciclaje en Salitral, distrito de Salitral</t>
  </si>
  <si>
    <t>Mejoramiento de la cancha multisusos de Brasil, Santa Ana</t>
  </si>
  <si>
    <t>Remodelación, adecuación de las instalaciones y equipamiento Hogar de Ancianos Joaquín y Ana</t>
  </si>
  <si>
    <t>Se recupera del Superávit Específico 2018. Proyecto financiado recursos de FODESAF</t>
  </si>
  <si>
    <t>02,10,09,01,04,99</t>
  </si>
  <si>
    <t>Otros servicios de gestión y apoyo</t>
  </si>
  <si>
    <t>Subsidios del CECUDI Lindora, Se recupera del Superávit Específico 2018</t>
  </si>
  <si>
    <t>Se recupera del Superávit Específico 2018. Red de Cuido Adulto Mayor</t>
  </si>
  <si>
    <t>Administración General</t>
  </si>
  <si>
    <t>02,22,01,08,02</t>
  </si>
  <si>
    <t>Mantenimiento de vías de comunicación</t>
  </si>
  <si>
    <t xml:space="preserve">Se recupera del Superávit Específico 2018  </t>
  </si>
  <si>
    <t>02,03,01,04,99</t>
  </si>
  <si>
    <t>Se recupera del Superávit Específico 2018 . Pagar el traslado del escombro</t>
  </si>
  <si>
    <t>07</t>
  </si>
  <si>
    <t>02,02,05,01,99</t>
  </si>
  <si>
    <t>Equipo diverso</t>
  </si>
  <si>
    <t>Se recupera del Superávit Específico 2018. Para la compra de una caja recolectora para el Servicio de Recolección de Basura</t>
  </si>
  <si>
    <t>03,01,00,07,01,04</t>
  </si>
  <si>
    <t>Aporte adicional  al Comité Cantonal de Deportes y Recreación de Santa Ana, Contrucción de oficinas</t>
  </si>
  <si>
    <t>Según Acuerdo del Concejo Municipal, aprobado en la Sesión N° 151 celebrada el 19 de marzo 2019</t>
  </si>
  <si>
    <t>Transferencia corrientes a Gobiernos Locales</t>
  </si>
  <si>
    <t>Aporte para la Asociación de Ciclismo de Santa Ana para un evento de ciliclismo en Santa Ana</t>
  </si>
  <si>
    <t>Aporte para el Equipo Elite para la participación en la Vuelta Ciclistica a Costa Rica, según solicitud presentada a la Alcaldía por la Asociación de Ciclismo de Santa Ana</t>
  </si>
  <si>
    <t>01,01,01,01,01</t>
  </si>
  <si>
    <t>Alquiler de Edificios y locales</t>
  </si>
  <si>
    <t>Solicitado por la Proveedura Municipal, contrato de alquiler de Plaza Koros, calculando la estadía hasta el mes de octubre inclusive.</t>
  </si>
  <si>
    <t>Equipamiento Centro Diurno Joaquín y Ana</t>
  </si>
  <si>
    <t>03,01,00,07,03,01</t>
  </si>
  <si>
    <t>Según solicitud del Promotor Social, se recupera el monto del proyecto que no se ejecutó en el 2018 y se presupuesta como Transferencia de Capital a favor del Asociación Centro Integral Joaquín y Ana</t>
  </si>
  <si>
    <t>Diseño, elaboración de planos y Contrucción de baños Salón Comunal de Rio Oro</t>
  </si>
  <si>
    <t>02,05,05,01,99</t>
  </si>
  <si>
    <t>Maquinaria y equipo diverso</t>
  </si>
  <si>
    <t>Superávit Específico 2018. Servicio de Parques Obras y Ornato. Compra de armas para los policías del Parque</t>
  </si>
  <si>
    <t>02,05,02,99,06</t>
  </si>
  <si>
    <t>Materiales de resguardo y seguridad</t>
  </si>
  <si>
    <t>Superávit Específico 2018. Servicio de Parques Obras y Ornato. Comprachalecos antibalas, esposas, vara policial, botas para los policias del Parque</t>
  </si>
  <si>
    <t>02,05,01,04,01</t>
  </si>
  <si>
    <t>Servicios en ciencias de la salud</t>
  </si>
  <si>
    <t>Superávit Específico 2018. Servicio de Parques Obras y Ornato.  Pruebas dophin para los policias del Parque</t>
  </si>
  <si>
    <t>02,05,01,04,04</t>
  </si>
  <si>
    <t>Superávit Específico 2018. Servicio de Parques Obras y Ornato.  Pruebas psocilógicas para los policias del Parque</t>
  </si>
  <si>
    <t>02,05,00,00,02,01</t>
  </si>
  <si>
    <t>Tiempo extraordinario</t>
  </si>
  <si>
    <t>Construcción de camerinos Cancha de tenis Bosques de Santa Ana</t>
  </si>
  <si>
    <t xml:space="preserve">Cambio de Techo de la Escuela San Rafael </t>
  </si>
  <si>
    <t>03,01,00,07,01,03</t>
  </si>
  <si>
    <t>Compra de cámaras de seguridad para el CECUDI de Salitral</t>
  </si>
  <si>
    <t>03,01,00,05,01,03</t>
  </si>
  <si>
    <t>02,31,00,05,01,03</t>
  </si>
  <si>
    <t>Aporte para la compra equipo de sonido Parroquia de Santa Ana</t>
  </si>
  <si>
    <t>Aporte del 50% para la compra de un equipo de sonido para la Parroquia de Santa Ana</t>
  </si>
  <si>
    <t>Según solicitud presentada a la Alcaldía por parte del Director de la Escuela</t>
  </si>
  <si>
    <t>02,31,00,07,01,03</t>
  </si>
  <si>
    <t>Mejoras escuela La Mina</t>
  </si>
  <si>
    <t>Se presupuesta para mejoras del techo del comedor y dos aulas y para cambio piso de una aula, según solicitud presentada a la Alcaldía por el Director y Presidente de la Junta Administrativa. Se presupuesta como transferencia a favor de la Junta Administrativa de la Escuela La Mina</t>
  </si>
  <si>
    <t>**,**,01,01,01</t>
  </si>
  <si>
    <t>Alquiler de Edificios y Locales</t>
  </si>
  <si>
    <t>**,**,06,06,01</t>
  </si>
  <si>
    <t>**,**,01,08,02</t>
  </si>
  <si>
    <t>02,09,02,06,01,04</t>
  </si>
  <si>
    <t>Servicios de ingeniería y arquitectura</t>
  </si>
  <si>
    <t>**,**,00,02,01</t>
  </si>
  <si>
    <t>Tiempo Extraordinario</t>
  </si>
  <si>
    <t>**,**,01,04,01</t>
  </si>
  <si>
    <t>**,**,06,06,02</t>
  </si>
  <si>
    <t>Reintegro y devoluciones</t>
  </si>
  <si>
    <t>03,02,01,09,02,02</t>
  </si>
  <si>
    <t>Sumas específicas sin asignación presupuestaria</t>
  </si>
  <si>
    <t>Superávit 2018, Recursos Ley 8114</t>
  </si>
  <si>
    <t>02,09,01,05,01,07</t>
  </si>
  <si>
    <t>Equipo y mobiliario educacional, deportivo y recreativo</t>
  </si>
  <si>
    <t>Superávit 2018. EMAI. Compra de un 1 piano</t>
  </si>
  <si>
    <t>02,09,01,01,08,01</t>
  </si>
  <si>
    <t>Superávit 2018. EMAI.  Intalación de Audio, luces, telón en auditorio</t>
  </si>
  <si>
    <t>Según solicitud enviada por el Director de Desarrollo Humano</t>
  </si>
  <si>
    <t>Educativos, cultural y deportivo</t>
  </si>
  <si>
    <t>31</t>
  </si>
  <si>
    <t>Aportes en especie a proyectos comunitarios</t>
  </si>
  <si>
    <t>Unidad Técnica de Gesyión Víal</t>
  </si>
  <si>
    <t>Educativo cultural y Deportivo</t>
  </si>
  <si>
    <t>03,07,00,09,02,02</t>
  </si>
  <si>
    <t>Superávit Específico 2018.Plan de Lotificación</t>
  </si>
  <si>
    <t>Publicidad y propaganda</t>
  </si>
  <si>
    <t>Superávit Específico 2018. Comité Cantonal de la Pesona Joven</t>
  </si>
  <si>
    <t>02,09,03,02,99,04</t>
  </si>
  <si>
    <t>Transportes dentro del país</t>
  </si>
  <si>
    <t>02,09,03,02,02,03</t>
  </si>
  <si>
    <t>02,09,03,01,05,01</t>
  </si>
  <si>
    <t>Superávit Específico 2018. Servicio de Parques Obras y Ornato. 1.5 millones Pago de horas extras para los policias del Parque y 1 millón para los peones</t>
  </si>
  <si>
    <t>02,05,02,03,01</t>
  </si>
  <si>
    <t>Materiales y productos metálicos</t>
  </si>
  <si>
    <t>Superávit Específico 2018. Servicio de Parques Obras y Ornato, compra de malla ciclón, tubos metálicos</t>
  </si>
  <si>
    <t>02,05,02,01,04</t>
  </si>
  <si>
    <t>Tintas pinturas y diluyentes</t>
  </si>
  <si>
    <t>Superávit Específico 2018. Servicio de Parques Obras y Ornato.</t>
  </si>
  <si>
    <t>02,05,05,01,02</t>
  </si>
  <si>
    <t>Mantenimiento y conservación caminos vecinales y calles urbanas</t>
  </si>
  <si>
    <t>Superávit Específico 2018. Servicio de Parques Obras y Ornato. Compra equipo para mantenimiento parques</t>
  </si>
  <si>
    <t>01,01,01,04,99</t>
  </si>
  <si>
    <t>Otros servicios de Gestión y apoyo</t>
  </si>
  <si>
    <t>Para la contratación de una empresa para la realización de un estudio de satisfacción de los ususarios.</t>
  </si>
  <si>
    <t>01,01,01,03,01</t>
  </si>
  <si>
    <t>Se presupuesta para la realización de videos con temas de control interno.</t>
  </si>
  <si>
    <t>Se refuerza según solicitud del Encargado de Cultura dado el aumento de la agenda cultural</t>
  </si>
  <si>
    <t>01,03,05,01,04</t>
  </si>
  <si>
    <t>Equipo y mobiliario de oficina</t>
  </si>
  <si>
    <t>Administración de Inversiones</t>
  </si>
  <si>
    <t>Compra de mobiliario para el nuevo edificio municipal (cubiculos de plataforma de servicios), compra de sillas del Concejo Municipal</t>
  </si>
  <si>
    <t>CONTRIBUCION PATRONAL AL SEGURO DE SALUD C.C.S.S</t>
  </si>
  <si>
    <t>CONTRIBUCION PATRONAL AL BANCO POPULAR Y DESARROLLO COMUNAL</t>
  </si>
  <si>
    <t>CONTRIBUCION PATRONAL AL SEGURO DE PENCIONES C.C.S.S.</t>
  </si>
  <si>
    <t>APORTE PATRONAL REGIMEN DE PENSIONES COMPLEMENTARIAS</t>
  </si>
  <si>
    <t>02,25,00,01,02</t>
  </si>
  <si>
    <t>Jornales</t>
  </si>
  <si>
    <t>02,25,00,03,99</t>
  </si>
  <si>
    <t>02,25,00,03,03</t>
  </si>
  <si>
    <t>Decimotercer mes</t>
  </si>
  <si>
    <t>APORTE PATRONAL AL FONDO DE CAPITALIZACION LABORAL</t>
  </si>
  <si>
    <t>1,3,9,0,00,00,0,0,000</t>
  </si>
  <si>
    <t>OTROS INGRESOS NO TRIBUTARIOS</t>
  </si>
  <si>
    <t>1,3,9,9,00,00,0,0,000</t>
  </si>
  <si>
    <t>Ingresos varios no específicados</t>
  </si>
  <si>
    <t>Protección al Medio Ambiente</t>
  </si>
  <si>
    <t>02,10,05,01,04,99</t>
  </si>
  <si>
    <t>**,**,00,01,02</t>
  </si>
  <si>
    <t>02,25,00,04,01</t>
  </si>
  <si>
    <t>02,25,00,04,05</t>
  </si>
  <si>
    <t>02,25,00,05,01</t>
  </si>
  <si>
    <t>02,25,00,05,02</t>
  </si>
  <si>
    <t>02,25,00,05,03</t>
  </si>
  <si>
    <t>03,01,00,02,03,99</t>
  </si>
  <si>
    <t>03,01,00,02,03,04</t>
  </si>
  <si>
    <t>03,01,00,02,04,01</t>
  </si>
  <si>
    <t>03,01,00,02,99,02</t>
  </si>
  <si>
    <t>03,01,00,02,99,05</t>
  </si>
  <si>
    <t>03,01,00,02,99,06</t>
  </si>
  <si>
    <t>03,01,00,02,99,07</t>
  </si>
  <si>
    <t>03,01,00,02,99,99</t>
  </si>
  <si>
    <t>03,01,00,05,01,01</t>
  </si>
  <si>
    <t>03,01,00,05,01,04</t>
  </si>
  <si>
    <t>03,01,00,05,01,06</t>
  </si>
  <si>
    <t>03,07,00,05,01,99</t>
  </si>
  <si>
    <t>Compra de módulos para el Mercado de Abasto Solidario</t>
  </si>
  <si>
    <t>Proyecto solicitado por la Encargada de Seguridad Alimentaria Nutricional</t>
  </si>
  <si>
    <t>Remodelación del Edificio Muncipal (Recursos Municipales)</t>
  </si>
  <si>
    <t>Remodelación del Edificio Municipal</t>
  </si>
  <si>
    <t>Contratación de jornales para el centro de acopio. Se financia con la venta de reciclaje</t>
  </si>
  <si>
    <t>**,**,02,99,07</t>
  </si>
  <si>
    <t>Útiles y materiales de cocina y comedor</t>
  </si>
  <si>
    <t>**,**,02,99,02</t>
  </si>
  <si>
    <t>Útiles y materiales médicos hospitalarios y de investigación</t>
  </si>
  <si>
    <t>**,**,02,99,05</t>
  </si>
  <si>
    <t>ütiles y materiales de limpieza</t>
  </si>
  <si>
    <t>**,**,02,99,99</t>
  </si>
  <si>
    <t>Otros útiles materiales y suministros</t>
  </si>
  <si>
    <t>**,**,05,01,06</t>
  </si>
  <si>
    <t>Equipo sanirario de laboratorio e investigación</t>
  </si>
  <si>
    <t>|</t>
  </si>
  <si>
    <t>01,01,01,04,04</t>
  </si>
  <si>
    <t>Ampliación contrato que se tiene para lo de Execelencia Operacional (revisión de procedimientos)</t>
  </si>
  <si>
    <t>01,01,00,04,01</t>
  </si>
  <si>
    <t>01,01,00,05,01</t>
  </si>
  <si>
    <t>01,01,00,05,03</t>
  </si>
  <si>
    <t>Cargas patronales pendientes de presupuestar por el pago de la CCSS por el litigio de las anualidades</t>
  </si>
  <si>
    <t>Aulas Escuela Isabel La Católica</t>
  </si>
  <si>
    <t>Solicitud presentada por el Ing. Eduardo Fallas.</t>
  </si>
  <si>
    <t>Según solicitud del Comité de Deportes</t>
  </si>
  <si>
    <t>Solicitud presentada por vecinos del lugar.</t>
  </si>
  <si>
    <t>Cordón y Caño Calle Marín Hidalgo, Pozos</t>
  </si>
  <si>
    <t>Techado Cancha Multiusos Escuela Jorge Volio</t>
  </si>
  <si>
    <t>Según solicitud presentada por la Junta de Educación de la Escuela Jorge Volio</t>
  </si>
  <si>
    <t>Asociación vecinos Calle Valle del Sol, para reparación Calle Malinches</t>
  </si>
  <si>
    <t>03,02,00,07,03,01</t>
  </si>
  <si>
    <t>Según solicitud presentadapor la Directora de la Escuela</t>
  </si>
  <si>
    <t>Conclusion aulas de kinder y demarcación de cancha techada, Escuela Lagos de Lindora</t>
  </si>
  <si>
    <t>Polideportivo la Chispa y construcción de baños</t>
  </si>
  <si>
    <t>02,28,02,02,03</t>
  </si>
  <si>
    <t>Refrigerios para la semana de Gestión y Riesgos</t>
  </si>
  <si>
    <t>02,28,02,99,04</t>
  </si>
  <si>
    <t>Compra de camisetas y gorras Semana de Gestión y Riesgo</t>
  </si>
  <si>
    <t>02,28,01,07,02</t>
  </si>
  <si>
    <t>Actividades protocolarias y sociales</t>
  </si>
  <si>
    <t>Contratación de obra de teatro de personas con discapacidad</t>
  </si>
  <si>
    <t>Impresión encuadernación y otros</t>
  </si>
  <si>
    <t>02,28,02,99,99</t>
  </si>
  <si>
    <t>Otros materiales y suministros</t>
  </si>
  <si>
    <t>Impresión de fotografías para exposición</t>
  </si>
  <si>
    <t>Elaboración de reconocimientos</t>
  </si>
  <si>
    <t>02,28,05,99,03</t>
  </si>
  <si>
    <t>Bienes intangibles</t>
  </si>
  <si>
    <t>Inclusión de los modelos de los resultados de los estudios de ingeniería en el GEOPORTAL</t>
  </si>
  <si>
    <t>Solicitado por el Ing. Eduardo Fallas}</t>
  </si>
  <si>
    <t>Según solicitud presentada por la Asociación de Desarrollo de la Uruca</t>
  </si>
  <si>
    <t>Se recupera del Año 2018, según solicitud de la Escuela. Se presupuesta como Transferencia de Capital a favor de la Junta de Educación de la Escuela de San Rafael</t>
  </si>
  <si>
    <t>**,**,01,07,02</t>
  </si>
  <si>
    <t>**,**,01,03,03</t>
  </si>
  <si>
    <t>Compra de equipo tecnológico Aula de Frances Avanzado del Colegio de Santa Ana</t>
  </si>
  <si>
    <t xml:space="preserve">Según solicitud presentada por la Directora del Colegio </t>
  </si>
  <si>
    <t>02,10,07,05,01,05</t>
  </si>
  <si>
    <t>Equipo y programas de cómputo</t>
  </si>
  <si>
    <t>Compra de computadoras para el proyecto Metamofósis</t>
  </si>
  <si>
    <t>02,28,01,04,99</t>
  </si>
  <si>
    <t>Contratación del montaje del escenario de la obra de teatro</t>
  </si>
  <si>
    <t>02,25,00,05,05</t>
  </si>
  <si>
    <t>Contribución patronal a fondos administrados por entes privados</t>
  </si>
  <si>
    <t>**,**,00,05,05</t>
  </si>
  <si>
    <t>02,31,00,07,03,01</t>
  </si>
  <si>
    <t>Compra de instrumentos para la Banda Unión cantonal</t>
  </si>
  <si>
    <t>Se presupuesta como transferencia de capital a favor de la Asociación Integral Joaquín y Ana</t>
  </si>
  <si>
    <r>
      <t xml:space="preserve">En el presente presupuesto se hace un ajuste al monto presupuestadode la transferencia para el presente año que se recibe de CONAPAM, en el Presupuesto Ordinario 2019 aprobado por la Contraloría General de la República según oficio N° 18581, dado que en el convenio firmado fue por la suma de </t>
    </r>
    <r>
      <rPr>
        <sz val="11"/>
        <rFont val="Algerian"/>
        <family val="5"/>
      </rPr>
      <t>¢</t>
    </r>
    <r>
      <rPr>
        <sz val="11"/>
        <rFont val="Euphemia"/>
        <family val="2"/>
      </rPr>
      <t xml:space="preserve">134.499,996,00 por lo que se rebaja la suma de </t>
    </r>
    <r>
      <rPr>
        <sz val="11"/>
        <rFont val="Algerian"/>
        <family val="5"/>
      </rPr>
      <t>¢</t>
    </r>
    <r>
      <rPr>
        <sz val="11"/>
        <rFont val="Euphemia"/>
        <family val="2"/>
      </rPr>
      <t xml:space="preserve">34.821.470,00. Además se un monto pendiente de presupuestar de COSEVI de la Ley 9542 </t>
    </r>
    <r>
      <rPr>
        <sz val="11"/>
        <rFont val="Eras Light ITC"/>
        <family val="2"/>
      </rPr>
      <t>por la suma de ¢17.256.766,13, según oficio DF-2019-019</t>
    </r>
  </si>
  <si>
    <t>Se presupuesta la suma de ¢333.986.252,59,  correspondiente al superávit libre 2018, según el primer ajuste a la Liquidación Presupuestaria 2018 aprobada por el Concejo Municipal en la Sesión Ordinaria N° 151-2019, celebrada el 19 de marzo del año en curso.</t>
  </si>
  <si>
    <t>Se presupuesta la suma de ¢890.676.510,01, correspondiente al Superávit Específico 2018, según al primer ajuste a la Liquidación Presupuestaria 2018 aprobada por el Concejo Municipal en la Sesión Ordinaria N°151-2019, celebrada el 19 de marzo del año en curso, el  superávit que se está presupuestando, se detalla a continuación:</t>
  </si>
  <si>
    <t>Se presupuesta la suma de 34.596.882,10 desglosado en las cuentas de Alquiler de Edificios y Locales, para el pago del alquiler en donde se encuentra actualmente la Municipalidad por la remodelación del Edificio Municipal, Información, Servicios en ciencias económicas y sociales y Otros servicios de Gestión y Apoyo.</t>
  </si>
  <si>
    <t>Se presupuesta la suma de 20 millones en la cuenta de Equipo y Mobiliario de Oficina para la compra la compra de mobiliario de la Plataforma de Servicios y para el Salón de Sesiones.</t>
  </si>
  <si>
    <r>
      <t xml:space="preserve">Se presupuesta la suma de </t>
    </r>
    <r>
      <rPr>
        <sz val="11"/>
        <rFont val="Calibri"/>
        <family val="2"/>
      </rPr>
      <t>₵17.178.002,08 en las cuentas de Tiempo Extraordinario del Servicio Mantenimiento de parques obras y ornato, en este caso no se presupuestan las cargas patronales dado que en la cuenta de Salario Escolar de este año hubo un saldo de 5.139.751,96 y cargas estarían presupuestadas con ese saldo. Además de presupuesta en la cuenta de Jornales del Servicio de Protección al Medio Ambiente, se presupuesta 4 peones por 6 meses, monto que se financia con el nuevo ingreso de Venta de Reciclaje.</t>
    </r>
  </si>
  <si>
    <t>02,09,03,01,03,02</t>
  </si>
  <si>
    <r>
      <t xml:space="preserve">Se presupuesta la suma de </t>
    </r>
    <r>
      <rPr>
        <sz val="11"/>
        <rFont val="Calibri"/>
        <family val="2"/>
      </rPr>
      <t xml:space="preserve">₵59.224.940,52 </t>
    </r>
    <r>
      <rPr>
        <sz val="11"/>
        <rFont val="Arial"/>
        <family val="2"/>
      </rPr>
      <t>desglosado en las cuentas Servicios en Ciencias de la Salud (Mantenimiento de Parques obras y ornato), Servicios en Ciencias económicas y sociales, Otros Servicios de Gestión (Atención de Emergencias Cantonales) y Apoyo, Transporte dentro del país  (Servicio Educativos, culturales y Deportivos) , Actividades protocolarias y sociales (Atención de Emergencias Cantonales), Mantenimiento de Edificios y locales (Servicio Educativos, culturales y Deportivos) y Mantenimiento en vías de comunicación (Servicio Seguridad Vial)</t>
    </r>
  </si>
  <si>
    <t>Materiales y suministros</t>
  </si>
  <si>
    <t>Se presupuesta la suma de 88.463.737,93 desglosado en las siguientes cuentas Equipo de transporte en el Servicios Mantenimiento de Parques obras y ornato y Seguridad y Vigilancia, Equipo de Comunicación, Equipo y programas de cómputo en el Servicio Aportes en especie para servicios y proyectos comunales, Equipo mobiliario educativo y deportivo en el servicio Eduacativos, culturales y deportivos, Maquinaria y Euipo Diverso en el Servicio de Recolección de Basura y Mantenimiento de Parques, Bienes Intangibles en Atención de Emergencias Cantonales</t>
  </si>
  <si>
    <r>
      <t xml:space="preserve">Se presupuesta la suma de </t>
    </r>
    <r>
      <rPr>
        <sz val="11"/>
        <rFont val="Calibri"/>
        <family val="2"/>
      </rPr>
      <t>₵17.561.701,35, desglosado en la siguiente forma:</t>
    </r>
  </si>
  <si>
    <t>Ajuste del monto se presupuesto en el Ordinario 2019, de la transferencia de CONAPAM</t>
  </si>
  <si>
    <t>Superávit Específico 2018 Recursos de CONAPAM</t>
  </si>
  <si>
    <t>Se presupuesta la suma de 70.553.489,75 como transferencias de capital, desglosado de la siguiente forma:</t>
  </si>
  <si>
    <t>Se presupuesta la suma 9.783.000,00 de colones para hacer las especificaciones y diseños de los siguientes proyectos:</t>
  </si>
  <si>
    <t>Arreglos Calle Malinche</t>
  </si>
  <si>
    <t>Intalaciones</t>
  </si>
  <si>
    <t>Cuentas Especiales</t>
  </si>
  <si>
    <t>28</t>
  </si>
  <si>
    <t>Atención de Emergencias Cantonales</t>
  </si>
  <si>
    <t>Aporte para el Equipo de Ciclismo</t>
  </si>
  <si>
    <t>Construcción de aulas Escuela Isabel La Católica</t>
  </si>
  <si>
    <t>Mejoras infraestructura Escuela La Mina</t>
  </si>
  <si>
    <t>Junta de Educación Escuela Isabel La Católica</t>
  </si>
  <si>
    <t>Junta de Educación Escuela La Mina</t>
  </si>
  <si>
    <t>Junta de Educación Escuela Lagos de Lindora</t>
  </si>
  <si>
    <t>Asociación Integral Joaquín y Ana</t>
  </si>
  <si>
    <t>Junta Administrativa Colegio de Santa Ana</t>
  </si>
  <si>
    <t>Comité Cantonal de Deportes y Recreación de Santa Ana, Contrucción de oficinas</t>
  </si>
  <si>
    <t>Junata de Educación Escuela Jorge Volio</t>
  </si>
  <si>
    <t xml:space="preserve">Junta de Educación Escuela San Rafael </t>
  </si>
  <si>
    <t>Se presupuesta la suma de 14.678.002,08 como in ingreso nuevo por la venta de material de reciclaje, la proyección se realizó tomando en cuenta los ingresos de enero a abril del presente año.</t>
  </si>
  <si>
    <r>
      <t xml:space="preserve">Se presupuesta la suma de </t>
    </r>
    <r>
      <rPr>
        <sz val="11"/>
        <rFont val="Calibri"/>
        <family val="2"/>
      </rPr>
      <t>₵13.650.000,00</t>
    </r>
    <r>
      <rPr>
        <sz val="11"/>
        <rFont val="Arial"/>
        <family val="2"/>
      </rPr>
      <t xml:space="preserve"> desglosados en las siguientes cuentas Tintas, pinturas y diluyentes en Mantenimiento de parques obras y ornato, Alimentos y Bebidas en Protección al Medio Ambiente y Educativos Culturales y Deportivos, Materiales y productos metálcios en  Mantenimiento de parques obras y ornato y Textiles y Vestuarios en Atención de Emergencias Cantonales, Materiales de Resguardo y seguridad, Otros materiales y suministros</t>
    </r>
  </si>
  <si>
    <t>Se presupuesta la suma de ¢507.246.298,71,  desglosado en los siguientes proyectos:</t>
  </si>
  <si>
    <t>Se presupuesto en la cuenta Sumas específicas sin asignación presupuestaria el Superávit Específico de los recursos de la Ley 8114, lo del Plan de Lotificación y el monto del proyecto improbado por el Concejo Municipal por la suma de 45 millones de colones.</t>
  </si>
  <si>
    <t>Asociación vecinos Valle del Sol, para reparación Calle Malinches</t>
  </si>
  <si>
    <t>Fecha:  Abril, 2019</t>
  </si>
  <si>
    <t>Fecha: Abril 2019</t>
  </si>
  <si>
    <t>PRESUPUESTO EXTRAORDINARIO 02-2019</t>
  </si>
  <si>
    <t>Yo, Rebeca Vásquez Herrera, hago constar que los datos suministrados anteriormente corresponden a las aplicaciones dadas por la Municipalidad a la totalidad de los recursos con origen específico incorporados en el Presupuesto Extraordinario 02-2019.</t>
  </si>
  <si>
    <t>Monto pendiente de asignar el destino-</t>
  </si>
  <si>
    <t>14</t>
  </si>
  <si>
    <t>17</t>
  </si>
  <si>
    <t>19</t>
  </si>
  <si>
    <t>26</t>
  </si>
  <si>
    <t>29</t>
  </si>
  <si>
    <t>Transferencia Multas de Tránsito, monto pendiente 2018 (17.256.766,13)</t>
  </si>
  <si>
    <t>Ajuste monto presupuestado Red de cuido (34.821.470,00)</t>
  </si>
  <si>
    <t>El proyecto fue excluído del presupuesto según Oficio N°17412</t>
  </si>
  <si>
    <t>Se rebaja lo de las Partidas específicas según Oficio 17412 de la CGR</t>
  </si>
  <si>
    <t>El ajuste de CONAPAM se aumenta según Oficio 17412 de la cGR</t>
  </si>
  <si>
    <t>Sueldos fijos</t>
  </si>
  <si>
    <t>Compensación de vacaciones</t>
  </si>
  <si>
    <t>Retribución por años servidos</t>
  </si>
  <si>
    <t>Salario Escolar</t>
  </si>
  <si>
    <t>Pago de la funcionaria Maria Mena Ureña por juicio laboral. Se desglosa los 36 millones presupuestados según inidicaciones de la CGR en el Oficio 17412</t>
  </si>
  <si>
    <t>Ajuste de los recursos girados por CONAPAM para la red de cuido, dado que el convenio del 2019 el monto que se va a recibir es inferior al presupuestado.El ajsute se aumenta por indicaciones de la CGR en el Oficio 17412</t>
  </si>
  <si>
    <t>**,**,00,01,01</t>
  </si>
  <si>
    <t>01,01,00,01,01</t>
  </si>
  <si>
    <t>01,01,00,02,04</t>
  </si>
  <si>
    <t>01,01,00,03,01</t>
  </si>
  <si>
    <t>01,01,00,03,04</t>
  </si>
  <si>
    <t>**,**,00,03,01</t>
  </si>
  <si>
    <t>**,**,00,03,04</t>
  </si>
  <si>
    <t>**,**,00,02,04</t>
  </si>
  <si>
    <t>Se presupuesta la suma de 92.360.893.41 para el pago a la CCSS por cargas patronales por un ajuste por cencepto de anualidades según expediente N° 11-002922-1178-LA del Juzgado de Trabajo II Circuito Judicial de San José y para el pago de la reintalación de la María Mena</t>
  </si>
  <si>
    <t>Se incluye la suma de ¢16.252.106,66, del saldo de la transferencia que quedó pendientes de girar en el año 2018, según consta en el I Ajuste de la Liquidación Presupuestaria 2018, aprobado por el Concejo Municipal, en la Sesión Ordinaria N° 151-2018, celebrada el 19 de marzo del año en curso.  Además se presupuesta la suma de 2.7 millones para el pago de salarios caídos de una funcionaria a quien se reintaló en su puesto de trabajo por orden judical. El detalle de las transferencias se detalla a contunuación: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</si>
</sst>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0_);_(&quot;₡&quot;* \(#,##0.00\);_(&quot;₡&quot;* &quot;-&quot;??_);_(@_)"/>
    <numFmt numFmtId="173" formatCode="_-* #,##0.00\ _€_-;\-* #,##0.00\ _€_-;_-* &quot;-&quot;??\ _€_-;_-@_-"/>
    <numFmt numFmtId="174" formatCode="_-* #,##0\ &quot;Pts&quot;_-;\-* #,##0\ &quot;Pts&quot;_-;_-* &quot;-&quot;\ &quot;Pts&quot;_-;_-@_-"/>
    <numFmt numFmtId="175" formatCode="_-* #,##0\ _P_t_s_-;\-* #,##0\ _P_t_s_-;_-* &quot;-&quot;\ _P_t_s_-;_-@_-"/>
    <numFmt numFmtId="176" formatCode="_-* #,##0.00\ &quot;Pts&quot;_-;\-* #,##0.00\ &quot;Pts&quot;_-;_-* &quot;-&quot;??\ &quot;Pts&quot;_-;_-@_-"/>
    <numFmt numFmtId="177" formatCode="_-* #,##0.00\ _P_t_s_-;\-* #,##0.00\ _P_t_s_-;_-* &quot;-&quot;??\ _P_t_s_-;_-@_-"/>
    <numFmt numFmtId="178" formatCode="0.0%"/>
    <numFmt numFmtId="179" formatCode="_-* #,##0.00\ [$€]_-;\-* #,##0.00\ [$€]_-;_-* &quot;-&quot;??\ [$€]_-;_-@_-"/>
    <numFmt numFmtId="180" formatCode="#,##0.0000000"/>
    <numFmt numFmtId="181" formatCode="#,##0.00000000"/>
  </numFmts>
  <fonts count="93">
    <font>
      <sz val="10"/>
      <name val="Arial"/>
      <family val="0"/>
    </font>
    <font>
      <b/>
      <sz val="10"/>
      <name val="Arial"/>
      <family val="2"/>
    </font>
    <font>
      <u val="single"/>
      <sz val="10"/>
      <color indexed="12"/>
      <name val="Arial"/>
      <family val="2"/>
    </font>
    <font>
      <b/>
      <sz val="12"/>
      <name val="Arial"/>
      <family val="2"/>
    </font>
    <font>
      <b/>
      <sz val="11"/>
      <name val="Arial"/>
      <family val="2"/>
    </font>
    <font>
      <sz val="11"/>
      <name val="Arial"/>
      <family val="2"/>
    </font>
    <font>
      <sz val="12"/>
      <name val="Arial"/>
      <family val="2"/>
    </font>
    <font>
      <u val="single"/>
      <sz val="10"/>
      <color indexed="36"/>
      <name val="Arial"/>
      <family val="2"/>
    </font>
    <font>
      <sz val="10"/>
      <color indexed="8"/>
      <name val="Arial"/>
      <family val="2"/>
    </font>
    <font>
      <sz val="8"/>
      <name val="Arial"/>
      <family val="2"/>
    </font>
    <font>
      <b/>
      <sz val="11"/>
      <color indexed="9"/>
      <name val="Arial"/>
      <family val="2"/>
    </font>
    <font>
      <sz val="8"/>
      <name val="Tahoma"/>
      <family val="2"/>
    </font>
    <font>
      <sz val="12"/>
      <name val="Times New Roman"/>
      <family val="1"/>
    </font>
    <font>
      <sz val="10"/>
      <name val="Times New Roman"/>
      <family val="1"/>
    </font>
    <font>
      <b/>
      <sz val="12"/>
      <name val="Times New Roman"/>
      <family val="1"/>
    </font>
    <font>
      <sz val="11"/>
      <name val="Calibri"/>
      <family val="2"/>
    </font>
    <font>
      <b/>
      <sz val="12"/>
      <name val="Euphemia"/>
      <family val="2"/>
    </font>
    <font>
      <sz val="10"/>
      <name val="Euphemia"/>
      <family val="2"/>
    </font>
    <font>
      <b/>
      <sz val="10"/>
      <name val="Euphemia"/>
      <family val="2"/>
    </font>
    <font>
      <b/>
      <sz val="11"/>
      <name val="Euphemia"/>
      <family val="2"/>
    </font>
    <font>
      <sz val="11"/>
      <name val="Euphemia"/>
      <family val="2"/>
    </font>
    <font>
      <b/>
      <sz val="11"/>
      <color indexed="9"/>
      <name val="Euphemia"/>
      <family val="2"/>
    </font>
    <font>
      <b/>
      <u val="single"/>
      <sz val="10"/>
      <name val="Euphemia"/>
      <family val="2"/>
    </font>
    <font>
      <sz val="12"/>
      <name val="Euphemia"/>
      <family val="2"/>
    </font>
    <font>
      <b/>
      <sz val="9"/>
      <name val="Euphemia"/>
      <family val="2"/>
    </font>
    <font>
      <b/>
      <sz val="9"/>
      <name val="Tahoma"/>
      <family val="2"/>
    </font>
    <font>
      <sz val="9"/>
      <name val="Tahoma"/>
      <family val="2"/>
    </font>
    <font>
      <b/>
      <i/>
      <sz val="10"/>
      <name val="Euphemia"/>
      <family val="0"/>
    </font>
    <font>
      <sz val="11"/>
      <name val="Algerian"/>
      <family val="5"/>
    </font>
    <font>
      <sz val="11"/>
      <name val="Eras Light IT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3"/>
      <name val="Euphemia"/>
      <family val="2"/>
    </font>
    <font>
      <b/>
      <sz val="12"/>
      <color indexed="13"/>
      <name val="Euphemia"/>
      <family val="2"/>
    </font>
    <font>
      <sz val="10"/>
      <color indexed="13"/>
      <name val="Euphemia"/>
      <family val="2"/>
    </font>
    <font>
      <b/>
      <sz val="10"/>
      <color indexed="13"/>
      <name val="Euphemia"/>
      <family val="2"/>
    </font>
    <font>
      <b/>
      <sz val="10"/>
      <color indexed="9"/>
      <name val="Arial"/>
      <family val="2"/>
    </font>
    <font>
      <b/>
      <sz val="10"/>
      <color indexed="8"/>
      <name val="Euphemia"/>
      <family val="2"/>
    </font>
    <font>
      <b/>
      <sz val="10"/>
      <color indexed="8"/>
      <name val="Arial"/>
      <family val="2"/>
    </font>
    <font>
      <sz val="11"/>
      <color indexed="13"/>
      <name val="Arial"/>
      <family val="2"/>
    </font>
    <font>
      <b/>
      <sz val="11"/>
      <color indexed="13"/>
      <name val="Arial"/>
      <family val="2"/>
    </font>
    <font>
      <sz val="11"/>
      <color indexed="8"/>
      <name val="Arial"/>
      <family val="2"/>
    </font>
    <font>
      <sz val="12"/>
      <color indexed="13"/>
      <name val="Euphemia"/>
      <family val="2"/>
    </font>
    <font>
      <b/>
      <sz val="10"/>
      <color indexed="13"/>
      <name val="Arial"/>
      <family val="2"/>
    </font>
    <font>
      <sz val="10"/>
      <color indexed="13"/>
      <name val="Arial"/>
      <family val="2"/>
    </font>
    <font>
      <b/>
      <sz val="12"/>
      <color indexed="1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FF00"/>
      <name val="Euphemia"/>
      <family val="2"/>
    </font>
    <font>
      <b/>
      <sz val="12"/>
      <color rgb="FFFFFF00"/>
      <name val="Euphemia"/>
      <family val="2"/>
    </font>
    <font>
      <sz val="10"/>
      <color rgb="FFFFFF00"/>
      <name val="Euphemia"/>
      <family val="2"/>
    </font>
    <font>
      <b/>
      <sz val="10"/>
      <color rgb="FFFFFF00"/>
      <name val="Euphemia"/>
      <family val="2"/>
    </font>
    <font>
      <b/>
      <sz val="10"/>
      <color theme="0"/>
      <name val="Arial"/>
      <family val="2"/>
    </font>
    <font>
      <b/>
      <sz val="10"/>
      <color theme="1"/>
      <name val="Euphemia"/>
      <family val="2"/>
    </font>
    <font>
      <b/>
      <sz val="10"/>
      <color theme="1"/>
      <name val="Arial"/>
      <family val="2"/>
    </font>
    <font>
      <sz val="11"/>
      <color rgb="FFFFFF00"/>
      <name val="Arial"/>
      <family val="2"/>
    </font>
    <font>
      <b/>
      <sz val="11"/>
      <color rgb="FFFFFF00"/>
      <name val="Arial"/>
      <family val="2"/>
    </font>
    <font>
      <sz val="11"/>
      <color theme="1"/>
      <name val="Arial"/>
      <family val="2"/>
    </font>
    <font>
      <sz val="12"/>
      <color rgb="FFFFFF00"/>
      <name val="Euphemia"/>
      <family val="2"/>
    </font>
    <font>
      <b/>
      <sz val="10"/>
      <color rgb="FFFFFF00"/>
      <name val="Arial"/>
      <family val="2"/>
    </font>
    <font>
      <sz val="10"/>
      <color rgb="FFFFFF00"/>
      <name val="Arial"/>
      <family val="2"/>
    </font>
    <font>
      <b/>
      <sz val="12"/>
      <color rgb="FFFFFF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3399"/>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0066"/>
        <bgColor indexed="64"/>
      </patternFill>
    </fill>
    <fill>
      <patternFill patternType="solid">
        <fgColor indexed="4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style="medium"/>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color indexed="63"/>
      </botto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179" fontId="0"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6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0" fillId="31" borderId="0" applyNumberFormat="0" applyBorder="0" applyAlignment="0" applyProtection="0"/>
    <xf numFmtId="0" fontId="61" fillId="0" borderId="0">
      <alignment/>
      <protection/>
    </xf>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489">
    <xf numFmtId="0" fontId="0" fillId="0" borderId="0" xfId="0" applyAlignment="1">
      <alignment/>
    </xf>
    <xf numFmtId="43" fontId="0" fillId="0" borderId="0" xfId="0" applyNumberFormat="1" applyAlignment="1">
      <alignment/>
    </xf>
    <xf numFmtId="0" fontId="1" fillId="0" borderId="0" xfId="0" applyFont="1" applyAlignment="1">
      <alignment horizontal="left"/>
    </xf>
    <xf numFmtId="0" fontId="1" fillId="0" borderId="0" xfId="0" applyFont="1" applyFill="1" applyBorder="1" applyAlignment="1">
      <alignment/>
    </xf>
    <xf numFmtId="0" fontId="1" fillId="0" borderId="0" xfId="0" applyFont="1" applyFill="1" applyBorder="1" applyAlignment="1">
      <alignment horizontal="center" wrapText="1"/>
    </xf>
    <xf numFmtId="0" fontId="0" fillId="0" borderId="0" xfId="0" applyFill="1" applyAlignment="1">
      <alignment/>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43" fontId="0" fillId="0" borderId="13" xfId="0" applyNumberFormat="1" applyBorder="1" applyAlignment="1">
      <alignment/>
    </xf>
    <xf numFmtId="0" fontId="0" fillId="0" borderId="14" xfId="0" applyBorder="1" applyAlignment="1">
      <alignment/>
    </xf>
    <xf numFmtId="43" fontId="0" fillId="0" borderId="0" xfId="0" applyNumberFormat="1" applyBorder="1" applyAlignment="1">
      <alignment/>
    </xf>
    <xf numFmtId="10" fontId="0" fillId="0" borderId="0" xfId="56" applyNumberFormat="1" applyFont="1" applyAlignment="1">
      <alignment/>
    </xf>
    <xf numFmtId="10" fontId="0" fillId="0" borderId="12" xfId="56" applyNumberFormat="1" applyFont="1" applyBorder="1" applyAlignment="1">
      <alignment/>
    </xf>
    <xf numFmtId="43" fontId="1" fillId="0" borderId="13" xfId="0" applyNumberFormat="1" applyFont="1" applyBorder="1" applyAlignment="1">
      <alignment/>
    </xf>
    <xf numFmtId="0" fontId="4" fillId="0" borderId="0" xfId="0" applyFont="1" applyAlignment="1">
      <alignment horizontal="center"/>
    </xf>
    <xf numFmtId="0" fontId="5" fillId="0" borderId="0" xfId="0" applyFont="1" applyAlignment="1">
      <alignment/>
    </xf>
    <xf numFmtId="0" fontId="5" fillId="0" borderId="0" xfId="0" applyFont="1" applyFill="1" applyAlignment="1">
      <alignment horizontal="justify" vertical="center" wrapText="1"/>
    </xf>
    <xf numFmtId="0" fontId="4" fillId="33" borderId="0" xfId="0" applyFont="1" applyFill="1" applyAlignment="1">
      <alignment vertical="center" wrapText="1"/>
    </xf>
    <xf numFmtId="177" fontId="4" fillId="33" borderId="0" xfId="49" applyFont="1" applyFill="1" applyAlignment="1">
      <alignment horizontal="right" vertical="center" wrapText="1"/>
    </xf>
    <xf numFmtId="0" fontId="4" fillId="33" borderId="0" xfId="0" applyFont="1" applyFill="1" applyAlignment="1">
      <alignment/>
    </xf>
    <xf numFmtId="0" fontId="5" fillId="33" borderId="0" xfId="0" applyFont="1" applyFill="1" applyAlignment="1">
      <alignment/>
    </xf>
    <xf numFmtId="177" fontId="4" fillId="33" borderId="0" xfId="49" applyFont="1" applyFill="1" applyAlignment="1">
      <alignment/>
    </xf>
    <xf numFmtId="177" fontId="4" fillId="33" borderId="0" xfId="49" applyFont="1" applyFill="1" applyAlignment="1">
      <alignment/>
    </xf>
    <xf numFmtId="0" fontId="4" fillId="0" borderId="0" xfId="0" applyFont="1" applyFill="1" applyAlignment="1">
      <alignment/>
    </xf>
    <xf numFmtId="172" fontId="4" fillId="0" borderId="0" xfId="0" applyNumberFormat="1" applyFont="1" applyFill="1" applyAlignment="1">
      <alignment horizontal="left" indent="15"/>
    </xf>
    <xf numFmtId="0" fontId="5" fillId="0" borderId="0" xfId="0" applyFont="1" applyFill="1" applyAlignment="1">
      <alignment/>
    </xf>
    <xf numFmtId="0" fontId="4" fillId="0" borderId="0" xfId="0" applyFont="1" applyFill="1" applyAlignment="1">
      <alignment horizontal="center" vertical="top" wrapText="1"/>
    </xf>
    <xf numFmtId="0" fontId="4" fillId="0" borderId="0" xfId="0" applyFont="1" applyAlignment="1">
      <alignment/>
    </xf>
    <xf numFmtId="49" fontId="5" fillId="0" borderId="0" xfId="0" applyNumberFormat="1" applyFont="1" applyFill="1" applyAlignment="1">
      <alignment vertical="center"/>
    </xf>
    <xf numFmtId="0" fontId="5" fillId="0" borderId="0" xfId="0" applyFont="1" applyAlignment="1">
      <alignment vertical="center"/>
    </xf>
    <xf numFmtId="43" fontId="5" fillId="0" borderId="0" xfId="0" applyNumberFormat="1" applyFont="1" applyAlignment="1">
      <alignment/>
    </xf>
    <xf numFmtId="0" fontId="0" fillId="0" borderId="0" xfId="0" applyAlignment="1">
      <alignment vertical="justify"/>
    </xf>
    <xf numFmtId="0" fontId="0" fillId="0" borderId="0" xfId="0" applyFill="1" applyAlignment="1">
      <alignment vertical="justify"/>
    </xf>
    <xf numFmtId="176" fontId="8" fillId="0" borderId="0" xfId="51" applyFont="1" applyAlignment="1">
      <alignment vertical="justify"/>
    </xf>
    <xf numFmtId="0" fontId="6" fillId="0" borderId="0" xfId="0" applyFont="1" applyAlignment="1">
      <alignment/>
    </xf>
    <xf numFmtId="43" fontId="5" fillId="0" borderId="0" xfId="0" applyNumberFormat="1" applyFont="1" applyAlignment="1">
      <alignment vertical="center"/>
    </xf>
    <xf numFmtId="0" fontId="10" fillId="0" borderId="0" xfId="0" applyFont="1" applyFill="1" applyBorder="1" applyAlignment="1">
      <alignment horizontal="center"/>
    </xf>
    <xf numFmtId="43" fontId="10" fillId="0" borderId="0" xfId="0" applyNumberFormat="1" applyFont="1" applyFill="1" applyBorder="1" applyAlignment="1">
      <alignment horizontal="center"/>
    </xf>
    <xf numFmtId="0" fontId="5" fillId="33" borderId="0" xfId="0" applyFont="1" applyFill="1" applyAlignment="1">
      <alignment vertical="justify"/>
    </xf>
    <xf numFmtId="0" fontId="5" fillId="0" borderId="0" xfId="0" applyFont="1" applyAlignment="1">
      <alignment vertical="justify"/>
    </xf>
    <xf numFmtId="0" fontId="5" fillId="0" borderId="0" xfId="0" applyFont="1" applyFill="1" applyAlignment="1">
      <alignment vertical="justify"/>
    </xf>
    <xf numFmtId="173" fontId="5" fillId="0" borderId="0" xfId="0" applyNumberFormat="1" applyFont="1" applyAlignment="1">
      <alignment/>
    </xf>
    <xf numFmtId="177" fontId="5" fillId="0" borderId="0" xfId="0" applyNumberFormat="1" applyFont="1" applyAlignment="1">
      <alignment/>
    </xf>
    <xf numFmtId="0" fontId="12" fillId="0" borderId="0" xfId="0" applyFont="1" applyAlignment="1">
      <alignment wrapText="1"/>
    </xf>
    <xf numFmtId="0" fontId="0" fillId="0" borderId="0" xfId="0" applyFont="1" applyAlignment="1">
      <alignment/>
    </xf>
    <xf numFmtId="0" fontId="0" fillId="0" borderId="0" xfId="0" applyFont="1" applyBorder="1" applyAlignment="1">
      <alignment/>
    </xf>
    <xf numFmtId="0" fontId="1" fillId="0" borderId="0" xfId="0" applyFont="1" applyAlignment="1">
      <alignment/>
    </xf>
    <xf numFmtId="0" fontId="1" fillId="0" borderId="0" xfId="0" applyFont="1" applyAlignment="1">
      <alignment/>
    </xf>
    <xf numFmtId="0" fontId="13" fillId="0" borderId="0" xfId="0" applyFont="1" applyAlignment="1">
      <alignment/>
    </xf>
    <xf numFmtId="4" fontId="0" fillId="0" borderId="0" xfId="0" applyNumberFormat="1" applyAlignment="1">
      <alignment/>
    </xf>
    <xf numFmtId="0" fontId="5" fillId="33" borderId="0" xfId="0" applyFont="1" applyFill="1" applyAlignment="1">
      <alignment vertical="justify"/>
    </xf>
    <xf numFmtId="0" fontId="5" fillId="33" borderId="0" xfId="0" applyFont="1" applyFill="1" applyAlignment="1">
      <alignment horizontal="left" vertical="center" wrapText="1"/>
    </xf>
    <xf numFmtId="0" fontId="5" fillId="34" borderId="0" xfId="0" applyFont="1" applyFill="1" applyBorder="1" applyAlignment="1">
      <alignment horizontal="left" vertical="center" wrapText="1"/>
    </xf>
    <xf numFmtId="4" fontId="5" fillId="34" borderId="0" xfId="49" applyNumberFormat="1" applyFont="1" applyFill="1" applyBorder="1" applyAlignment="1">
      <alignment horizontal="right" vertical="center" wrapText="1"/>
    </xf>
    <xf numFmtId="43" fontId="5" fillId="0" borderId="0" xfId="0" applyNumberFormat="1" applyFont="1" applyFill="1" applyAlignment="1">
      <alignment horizontal="justify" vertical="center" wrapText="1"/>
    </xf>
    <xf numFmtId="1" fontId="0" fillId="0" borderId="0" xfId="0" applyNumberFormat="1" applyAlignment="1">
      <alignment horizontal="center" vertical="center"/>
    </xf>
    <xf numFmtId="49" fontId="0" fillId="33" borderId="0" xfId="0" applyNumberFormat="1" applyFont="1" applyFill="1" applyAlignment="1">
      <alignment horizontal="center" vertical="center"/>
    </xf>
    <xf numFmtId="49" fontId="0" fillId="0" borderId="0" xfId="0" applyNumberFormat="1" applyAlignment="1">
      <alignment horizontal="center" vertical="center"/>
    </xf>
    <xf numFmtId="49" fontId="0" fillId="0" borderId="0" xfId="0" applyNumberFormat="1" applyFill="1" applyAlignment="1">
      <alignment horizontal="center" vertical="center"/>
    </xf>
    <xf numFmtId="49" fontId="0" fillId="0" borderId="0" xfId="0" applyNumberFormat="1" applyFont="1" applyAlignment="1">
      <alignment horizontal="center" vertical="center"/>
    </xf>
    <xf numFmtId="0" fontId="4" fillId="33" borderId="0" xfId="0" applyFont="1" applyFill="1" applyAlignment="1">
      <alignment vertical="center"/>
    </xf>
    <xf numFmtId="0" fontId="5" fillId="33" borderId="0" xfId="0" applyFont="1" applyFill="1" applyAlignment="1">
      <alignment vertical="center"/>
    </xf>
    <xf numFmtId="177" fontId="4" fillId="33" borderId="0" xfId="49" applyFont="1" applyFill="1" applyAlignment="1">
      <alignment vertical="center"/>
    </xf>
    <xf numFmtId="0" fontId="17" fillId="0" borderId="0" xfId="0" applyFont="1" applyAlignment="1">
      <alignment vertical="center"/>
    </xf>
    <xf numFmtId="4" fontId="17" fillId="0" borderId="0" xfId="0" applyNumberFormat="1" applyFont="1" applyAlignment="1">
      <alignment vertical="center"/>
    </xf>
    <xf numFmtId="43" fontId="17" fillId="0" borderId="0" xfId="0" applyNumberFormat="1" applyFont="1" applyAlignment="1">
      <alignment vertical="center"/>
    </xf>
    <xf numFmtId="0" fontId="19" fillId="0" borderId="0" xfId="0" applyFont="1" applyAlignment="1">
      <alignment horizontal="center" vertical="center"/>
    </xf>
    <xf numFmtId="0" fontId="20" fillId="0" borderId="0" xfId="0" applyFont="1" applyAlignment="1">
      <alignment vertical="center"/>
    </xf>
    <xf numFmtId="4" fontId="19" fillId="0" borderId="0" xfId="0" applyNumberFormat="1" applyFont="1" applyAlignment="1">
      <alignment horizontal="center" vertical="center"/>
    </xf>
    <xf numFmtId="0" fontId="78" fillId="35" borderId="15" xfId="0" applyFont="1" applyFill="1" applyBorder="1" applyAlignment="1">
      <alignment horizontal="center" vertical="center"/>
    </xf>
    <xf numFmtId="4" fontId="78" fillId="35" borderId="15" xfId="0" applyNumberFormat="1" applyFont="1" applyFill="1" applyBorder="1" applyAlignment="1">
      <alignment horizontal="center" vertical="center"/>
    </xf>
    <xf numFmtId="0" fontId="19" fillId="0" borderId="15" xfId="0" applyFont="1" applyFill="1" applyBorder="1" applyAlignment="1">
      <alignment vertical="center" wrapText="1"/>
    </xf>
    <xf numFmtId="4" fontId="19" fillId="34" borderId="15" xfId="0" applyNumberFormat="1" applyFont="1" applyFill="1" applyBorder="1" applyAlignment="1">
      <alignment vertical="center"/>
    </xf>
    <xf numFmtId="10" fontId="20" fillId="0" borderId="15" xfId="56" applyNumberFormat="1" applyFont="1" applyBorder="1" applyAlignment="1">
      <alignment vertical="center"/>
    </xf>
    <xf numFmtId="0" fontId="20" fillId="0" borderId="15" xfId="0" applyFont="1" applyFill="1" applyBorder="1" applyAlignment="1">
      <alignment vertical="center" wrapText="1"/>
    </xf>
    <xf numFmtId="4" fontId="20" fillId="34" borderId="15" xfId="0" applyNumberFormat="1" applyFont="1" applyFill="1" applyBorder="1" applyAlignment="1">
      <alignment vertical="center"/>
    </xf>
    <xf numFmtId="0" fontId="20" fillId="36" borderId="16" xfId="0" applyFont="1" applyFill="1" applyBorder="1" applyAlignment="1">
      <alignment vertical="center" wrapText="1"/>
    </xf>
    <xf numFmtId="0" fontId="20" fillId="36" borderId="17" xfId="0" applyFont="1" applyFill="1" applyBorder="1" applyAlignment="1">
      <alignment vertical="center" wrapText="1"/>
    </xf>
    <xf numFmtId="4" fontId="19" fillId="0" borderId="15" xfId="0" applyNumberFormat="1" applyFont="1" applyFill="1" applyBorder="1" applyAlignment="1">
      <alignment vertical="center"/>
    </xf>
    <xf numFmtId="10" fontId="78" fillId="35" borderId="15"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wrapText="1"/>
    </xf>
    <xf numFmtId="0" fontId="17" fillId="0" borderId="0" xfId="0" applyFont="1" applyAlignment="1">
      <alignment vertical="center" wrapText="1"/>
    </xf>
    <xf numFmtId="0" fontId="78" fillId="35" borderId="18" xfId="0" applyFont="1" applyFill="1" applyBorder="1" applyAlignment="1">
      <alignment horizontal="center" vertical="center" wrapText="1"/>
    </xf>
    <xf numFmtId="43" fontId="17" fillId="0" borderId="0" xfId="0" applyNumberFormat="1" applyFont="1" applyAlignment="1">
      <alignment vertical="center" wrapText="1"/>
    </xf>
    <xf numFmtId="0" fontId="21" fillId="34" borderId="15" xfId="0" applyFont="1" applyFill="1" applyBorder="1" applyAlignment="1">
      <alignment horizontal="center" vertical="center" wrapText="1"/>
    </xf>
    <xf numFmtId="43" fontId="19" fillId="34" borderId="15" xfId="0" applyNumberFormat="1" applyFont="1" applyFill="1" applyBorder="1" applyAlignment="1">
      <alignment horizontal="center" vertical="center" wrapText="1"/>
    </xf>
    <xf numFmtId="49" fontId="20" fillId="37" borderId="19" xfId="0" applyNumberFormat="1" applyFont="1" applyFill="1" applyBorder="1" applyAlignment="1">
      <alignment vertical="center" wrapText="1"/>
    </xf>
    <xf numFmtId="49" fontId="20" fillId="37" borderId="15" xfId="0" applyNumberFormat="1" applyFont="1" applyFill="1" applyBorder="1" applyAlignment="1">
      <alignment vertical="center" wrapText="1"/>
    </xf>
    <xf numFmtId="43" fontId="20" fillId="37" borderId="15" xfId="0" applyNumberFormat="1" applyFont="1" applyFill="1" applyBorder="1" applyAlignment="1">
      <alignment vertical="center" wrapText="1"/>
    </xf>
    <xf numFmtId="0" fontId="20" fillId="37" borderId="20" xfId="0" applyFont="1" applyFill="1" applyBorder="1" applyAlignment="1">
      <alignment vertical="center" wrapText="1"/>
    </xf>
    <xf numFmtId="0" fontId="17" fillId="0" borderId="0" xfId="0" applyFont="1" applyFill="1" applyAlignment="1">
      <alignment vertical="center" wrapText="1"/>
    </xf>
    <xf numFmtId="49" fontId="20" fillId="34" borderId="19" xfId="0" applyNumberFormat="1" applyFont="1" applyFill="1" applyBorder="1" applyAlignment="1">
      <alignment vertical="center" wrapText="1"/>
    </xf>
    <xf numFmtId="49" fontId="20" fillId="34" borderId="15" xfId="0" applyNumberFormat="1" applyFont="1" applyFill="1" applyBorder="1" applyAlignment="1">
      <alignment vertical="center" wrapText="1"/>
    </xf>
    <xf numFmtId="43" fontId="20" fillId="34" borderId="15" xfId="0" applyNumberFormat="1" applyFont="1" applyFill="1" applyBorder="1" applyAlignment="1">
      <alignment vertical="center" wrapText="1"/>
    </xf>
    <xf numFmtId="0" fontId="20" fillId="34" borderId="20" xfId="0" applyFont="1" applyFill="1" applyBorder="1" applyAlignment="1">
      <alignment vertical="center" wrapText="1"/>
    </xf>
    <xf numFmtId="43" fontId="78" fillId="35" borderId="21" xfId="0" applyNumberFormat="1" applyFont="1" applyFill="1" applyBorder="1" applyAlignment="1">
      <alignment vertical="center" wrapText="1"/>
    </xf>
    <xf numFmtId="0" fontId="78" fillId="35" borderId="21" xfId="0" applyFont="1" applyFill="1" applyBorder="1" applyAlignment="1">
      <alignment vertical="center" wrapText="1"/>
    </xf>
    <xf numFmtId="49" fontId="17" fillId="0" borderId="0" xfId="0" applyNumberFormat="1" applyFont="1" applyAlignment="1">
      <alignment vertical="center" wrapText="1"/>
    </xf>
    <xf numFmtId="49" fontId="17" fillId="0" borderId="0" xfId="0" applyNumberFormat="1" applyFont="1" applyFill="1" applyBorder="1" applyAlignment="1" applyProtection="1">
      <alignment vertical="center" wrapText="1"/>
      <protection/>
    </xf>
    <xf numFmtId="49" fontId="17" fillId="0" borderId="22" xfId="0" applyNumberFormat="1" applyFont="1" applyFill="1" applyBorder="1" applyAlignment="1">
      <alignment vertical="center" wrapText="1"/>
    </xf>
    <xf numFmtId="43" fontId="17" fillId="0" borderId="0" xfId="0" applyNumberFormat="1" applyFont="1" applyFill="1" applyBorder="1" applyAlignment="1">
      <alignment vertical="center" wrapText="1"/>
    </xf>
    <xf numFmtId="0" fontId="17" fillId="0" borderId="23" xfId="0" applyFont="1" applyFill="1" applyBorder="1" applyAlignment="1">
      <alignment vertical="center" wrapText="1"/>
    </xf>
    <xf numFmtId="49" fontId="16" fillId="0" borderId="0" xfId="0" applyNumberFormat="1" applyFont="1" applyFill="1" applyBorder="1" applyAlignment="1">
      <alignment horizontal="center" vertical="center"/>
    </xf>
    <xf numFmtId="0" fontId="78" fillId="35" borderId="15" xfId="0" applyFont="1" applyFill="1" applyBorder="1" applyAlignment="1">
      <alignment horizontal="center" vertical="center" wrapText="1"/>
    </xf>
    <xf numFmtId="49" fontId="18" fillId="0" borderId="15" xfId="0" applyNumberFormat="1" applyFont="1" applyBorder="1" applyAlignment="1">
      <alignment horizontal="center" vertical="center" textRotation="90"/>
    </xf>
    <xf numFmtId="49" fontId="18" fillId="0" borderId="15" xfId="0" applyNumberFormat="1" applyFont="1" applyBorder="1" applyAlignment="1">
      <alignment horizontal="center" vertical="center"/>
    </xf>
    <xf numFmtId="43" fontId="19" fillId="0" borderId="15" xfId="0" applyNumberFormat="1" applyFont="1" applyBorder="1" applyAlignment="1">
      <alignment horizontal="center" vertical="center"/>
    </xf>
    <xf numFmtId="0" fontId="18" fillId="0" borderId="15" xfId="0" applyFont="1" applyBorder="1" applyAlignment="1">
      <alignment horizontal="center" vertical="center"/>
    </xf>
    <xf numFmtId="0" fontId="20" fillId="34" borderId="19" xfId="0" applyFont="1" applyFill="1" applyBorder="1" applyAlignment="1">
      <alignment vertical="center" wrapText="1"/>
    </xf>
    <xf numFmtId="0" fontId="20" fillId="34" borderId="15" xfId="0" applyFont="1" applyFill="1" applyBorder="1" applyAlignment="1">
      <alignment vertical="center" wrapText="1"/>
    </xf>
    <xf numFmtId="4" fontId="20" fillId="34" borderId="24" xfId="49" applyNumberFormat="1" applyFont="1" applyFill="1" applyBorder="1" applyAlignment="1">
      <alignment vertical="center"/>
    </xf>
    <xf numFmtId="43" fontId="79" fillId="35" borderId="21" xfId="0" applyNumberFormat="1" applyFont="1" applyFill="1" applyBorder="1" applyAlignment="1">
      <alignment vertical="center"/>
    </xf>
    <xf numFmtId="0" fontId="80" fillId="35" borderId="21" xfId="0" applyFont="1" applyFill="1" applyBorder="1" applyAlignment="1">
      <alignment vertical="center"/>
    </xf>
    <xf numFmtId="49" fontId="17" fillId="0" borderId="0" xfId="0" applyNumberFormat="1" applyFont="1" applyAlignment="1">
      <alignment vertical="center"/>
    </xf>
    <xf numFmtId="43" fontId="17" fillId="0" borderId="0" xfId="0" applyNumberFormat="1" applyFont="1" applyFill="1" applyAlignment="1">
      <alignment vertical="center"/>
    </xf>
    <xf numFmtId="0" fontId="20" fillId="0" borderId="0" xfId="0" applyFont="1" applyAlignment="1">
      <alignment vertical="center" wrapText="1"/>
    </xf>
    <xf numFmtId="49" fontId="19" fillId="0" borderId="25"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49" fontId="19" fillId="0" borderId="27" xfId="0" applyNumberFormat="1" applyFont="1" applyFill="1" applyBorder="1" applyAlignment="1">
      <alignment horizontal="center" vertical="center" wrapText="1"/>
    </xf>
    <xf numFmtId="0" fontId="78" fillId="35" borderId="21" xfId="0" applyFont="1" applyFill="1" applyBorder="1" applyAlignment="1">
      <alignment horizontal="center" vertical="center" wrapText="1"/>
    </xf>
    <xf numFmtId="43" fontId="78" fillId="35" borderId="21" xfId="0" applyNumberFormat="1" applyFont="1" applyFill="1" applyBorder="1" applyAlignment="1">
      <alignment horizontal="center" vertical="center" wrapText="1"/>
    </xf>
    <xf numFmtId="43" fontId="20" fillId="0" borderId="0" xfId="0" applyNumberFormat="1" applyFont="1" applyAlignment="1">
      <alignment vertical="center" wrapText="1"/>
    </xf>
    <xf numFmtId="49" fontId="19" fillId="0" borderId="15" xfId="0" applyNumberFormat="1" applyFont="1" applyBorder="1" applyAlignment="1">
      <alignment horizontal="center" vertical="center" textRotation="90" wrapText="1"/>
    </xf>
    <xf numFmtId="0" fontId="19" fillId="0" borderId="28" xfId="0" applyFont="1" applyBorder="1" applyAlignment="1">
      <alignment horizontal="center" vertical="center" wrapText="1"/>
    </xf>
    <xf numFmtId="43" fontId="19" fillId="0" borderId="18" xfId="0" applyNumberFormat="1" applyFont="1" applyBorder="1" applyAlignment="1">
      <alignment horizontal="center" vertical="center" wrapText="1"/>
    </xf>
    <xf numFmtId="0" fontId="19" fillId="0" borderId="18" xfId="0" applyFont="1" applyBorder="1" applyAlignment="1">
      <alignment horizontal="center" vertical="center" wrapText="1"/>
    </xf>
    <xf numFmtId="4" fontId="20" fillId="34" borderId="15" xfId="49" applyNumberFormat="1" applyFont="1" applyFill="1" applyBorder="1" applyAlignment="1">
      <alignment horizontal="right" vertical="center" wrapText="1"/>
    </xf>
    <xf numFmtId="0" fontId="20" fillId="0" borderId="0" xfId="0" applyFont="1" applyFill="1" applyAlignment="1">
      <alignment vertical="center" wrapText="1"/>
    </xf>
    <xf numFmtId="43" fontId="78" fillId="35" borderId="29" xfId="0" applyNumberFormat="1" applyFont="1" applyFill="1" applyBorder="1" applyAlignment="1">
      <alignment vertical="center" wrapText="1"/>
    </xf>
    <xf numFmtId="0" fontId="78" fillId="35" borderId="29" xfId="0" applyFont="1" applyFill="1" applyBorder="1" applyAlignment="1">
      <alignment vertical="center" wrapText="1"/>
    </xf>
    <xf numFmtId="49" fontId="20" fillId="0" borderId="0" xfId="0" applyNumberFormat="1" applyFont="1" applyAlignment="1">
      <alignment vertical="center" wrapText="1"/>
    </xf>
    <xf numFmtId="49" fontId="18" fillId="0" borderId="0" xfId="0" applyNumberFormat="1" applyFont="1" applyFill="1" applyBorder="1" applyAlignment="1">
      <alignment horizontal="center" vertical="center" wrapText="1"/>
    </xf>
    <xf numFmtId="0" fontId="17" fillId="0" borderId="0" xfId="0" applyFont="1" applyFill="1" applyAlignment="1">
      <alignment horizontal="justify" vertical="center" wrapText="1"/>
    </xf>
    <xf numFmtId="0" fontId="81" fillId="35" borderId="21" xfId="0" applyFont="1" applyFill="1" applyBorder="1" applyAlignment="1">
      <alignment horizontal="center" vertical="center" wrapText="1"/>
    </xf>
    <xf numFmtId="49" fontId="18" fillId="0" borderId="24" xfId="0" applyNumberFormat="1" applyFont="1" applyBorder="1" applyAlignment="1">
      <alignment horizontal="justify" vertical="center" textRotation="90" wrapText="1"/>
    </xf>
    <xf numFmtId="0" fontId="18" fillId="0" borderId="24" xfId="0" applyFont="1" applyBorder="1" applyAlignment="1">
      <alignment horizontal="left" vertical="center" wrapText="1"/>
    </xf>
    <xf numFmtId="0" fontId="18" fillId="0" borderId="24" xfId="0" applyFont="1" applyBorder="1" applyAlignment="1">
      <alignment horizontal="justify" vertical="center" wrapText="1"/>
    </xf>
    <xf numFmtId="4" fontId="17" fillId="0" borderId="0" xfId="0" applyNumberFormat="1" applyFont="1" applyFill="1" applyAlignment="1">
      <alignment horizontal="justify" vertical="center" wrapText="1"/>
    </xf>
    <xf numFmtId="0" fontId="17" fillId="34" borderId="15" xfId="0" applyFont="1" applyFill="1" applyBorder="1" applyAlignment="1">
      <alignment vertical="center" wrapText="1"/>
    </xf>
    <xf numFmtId="0" fontId="80" fillId="35" borderId="15" xfId="0" applyFont="1" applyFill="1" applyBorder="1" applyAlignment="1">
      <alignment horizontal="justify" vertical="center" wrapText="1"/>
    </xf>
    <xf numFmtId="0" fontId="17" fillId="0" borderId="0" xfId="0" applyFont="1" applyAlignment="1">
      <alignment horizontal="justify" vertical="center" wrapText="1"/>
    </xf>
    <xf numFmtId="0" fontId="17" fillId="0" borderId="0" xfId="0" applyFont="1" applyAlignment="1">
      <alignment horizontal="left" vertical="center" wrapText="1"/>
    </xf>
    <xf numFmtId="49" fontId="18" fillId="0" borderId="0" xfId="0" applyNumberFormat="1" applyFont="1" applyFill="1" applyBorder="1" applyAlignment="1">
      <alignment horizontal="right" vertical="center" wrapText="1"/>
    </xf>
    <xf numFmtId="4" fontId="18" fillId="0" borderId="24" xfId="49" applyNumberFormat="1" applyFont="1" applyFill="1" applyBorder="1" applyAlignment="1">
      <alignment horizontal="right" vertical="center" wrapText="1"/>
    </xf>
    <xf numFmtId="4" fontId="81" fillId="35" borderId="15" xfId="0" applyNumberFormat="1" applyFont="1" applyFill="1" applyBorder="1" applyAlignment="1">
      <alignment horizontal="right" vertical="center" wrapText="1"/>
    </xf>
    <xf numFmtId="0" fontId="17" fillId="0" borderId="0" xfId="0" applyFont="1" applyAlignment="1">
      <alignment horizontal="right" vertical="center" wrapText="1"/>
    </xf>
    <xf numFmtId="0" fontId="82" fillId="35" borderId="15" xfId="0" applyFont="1" applyFill="1" applyBorder="1" applyAlignment="1">
      <alignment/>
    </xf>
    <xf numFmtId="0" fontId="82" fillId="35" borderId="15" xfId="0" applyFont="1" applyFill="1" applyBorder="1" applyAlignment="1">
      <alignment horizontal="center" vertical="center" wrapText="1"/>
    </xf>
    <xf numFmtId="0" fontId="18" fillId="0" borderId="0" xfId="0" applyFont="1" applyBorder="1" applyAlignment="1">
      <alignment horizontal="center" vertical="center"/>
    </xf>
    <xf numFmtId="0" fontId="81" fillId="35" borderId="21" xfId="0" applyFont="1" applyFill="1" applyBorder="1" applyAlignment="1">
      <alignment horizontal="center" vertical="center"/>
    </xf>
    <xf numFmtId="0" fontId="81" fillId="35" borderId="21" xfId="0" applyNumberFormat="1" applyFont="1" applyFill="1" applyBorder="1" applyAlignment="1">
      <alignment horizontal="center" vertical="center" wrapText="1"/>
    </xf>
    <xf numFmtId="43" fontId="81" fillId="35" borderId="21" xfId="0" applyNumberFormat="1" applyFont="1" applyFill="1" applyBorder="1" applyAlignment="1">
      <alignment horizontal="center" vertical="center" wrapText="1"/>
    </xf>
    <xf numFmtId="43" fontId="81" fillId="35" borderId="21" xfId="56" applyNumberFormat="1" applyFont="1" applyFill="1" applyBorder="1" applyAlignment="1">
      <alignment horizontal="center" vertical="center" wrapText="1"/>
    </xf>
    <xf numFmtId="178" fontId="81" fillId="35" borderId="21" xfId="56" applyNumberFormat="1" applyFont="1" applyFill="1" applyBorder="1" applyAlignment="1">
      <alignment horizontal="center" vertical="center" wrapText="1"/>
    </xf>
    <xf numFmtId="0" fontId="18" fillId="0" borderId="30" xfId="0" applyFont="1" applyBorder="1" applyAlignment="1">
      <alignment horizontal="right" vertical="center"/>
    </xf>
    <xf numFmtId="0" fontId="18" fillId="0" borderId="31" xfId="0" applyNumberFormat="1" applyFont="1" applyBorder="1" applyAlignment="1">
      <alignment horizontal="center" vertical="center" wrapText="1"/>
    </xf>
    <xf numFmtId="43" fontId="18" fillId="0" borderId="31" xfId="0" applyNumberFormat="1" applyFont="1" applyFill="1" applyBorder="1" applyAlignment="1">
      <alignment vertical="center"/>
    </xf>
    <xf numFmtId="43" fontId="18" fillId="38" borderId="0" xfId="0" applyNumberFormat="1" applyFont="1" applyFill="1" applyBorder="1" applyAlignment="1">
      <alignment vertical="center"/>
    </xf>
    <xf numFmtId="178" fontId="18" fillId="38" borderId="23" xfId="56" applyNumberFormat="1" applyFont="1" applyFill="1" applyBorder="1" applyAlignment="1">
      <alignment horizontal="center" vertical="center"/>
    </xf>
    <xf numFmtId="0" fontId="83" fillId="0" borderId="0" xfId="0" applyFont="1" applyAlignment="1">
      <alignment vertical="center"/>
    </xf>
    <xf numFmtId="0" fontId="17" fillId="0" borderId="22" xfId="0" applyFont="1" applyBorder="1" applyAlignment="1">
      <alignment horizontal="right" vertical="center"/>
    </xf>
    <xf numFmtId="0" fontId="17" fillId="0" borderId="0" xfId="0" applyNumberFormat="1" applyFont="1" applyBorder="1" applyAlignment="1">
      <alignment vertical="center" wrapText="1"/>
    </xf>
    <xf numFmtId="43" fontId="17" fillId="0" borderId="0" xfId="0" applyNumberFormat="1" applyFont="1" applyFill="1" applyBorder="1" applyAlignment="1">
      <alignment vertical="center"/>
    </xf>
    <xf numFmtId="43" fontId="17" fillId="0" borderId="0" xfId="56" applyNumberFormat="1" applyFont="1" applyFill="1" applyBorder="1" applyAlignment="1">
      <alignment horizontal="center" vertical="center"/>
    </xf>
    <xf numFmtId="43" fontId="83" fillId="38" borderId="0" xfId="0" applyNumberFormat="1" applyFont="1" applyFill="1" applyBorder="1" applyAlignment="1">
      <alignment vertical="center"/>
    </xf>
    <xf numFmtId="0" fontId="17" fillId="0" borderId="0" xfId="0" applyFont="1" applyBorder="1" applyAlignment="1">
      <alignment vertical="center" wrapText="1"/>
    </xf>
    <xf numFmtId="4" fontId="17" fillId="0" borderId="22" xfId="0" applyNumberFormat="1" applyFont="1" applyBorder="1" applyAlignment="1">
      <alignment horizontal="right" vertical="center"/>
    </xf>
    <xf numFmtId="49" fontId="17" fillId="0" borderId="0" xfId="0" applyNumberFormat="1" applyFont="1" applyFill="1" applyBorder="1" applyAlignment="1">
      <alignment vertical="center" wrapText="1"/>
    </xf>
    <xf numFmtId="0" fontId="17" fillId="0" borderId="25" xfId="0" applyFont="1" applyBorder="1" applyAlignment="1">
      <alignment horizontal="right" vertical="center"/>
    </xf>
    <xf numFmtId="0" fontId="17" fillId="0" borderId="26" xfId="0" applyNumberFormat="1" applyFont="1" applyBorder="1" applyAlignment="1">
      <alignment vertical="center" wrapText="1"/>
    </xf>
    <xf numFmtId="43" fontId="17" fillId="0" borderId="26" xfId="0" applyNumberFormat="1" applyFont="1" applyFill="1" applyBorder="1" applyAlignment="1">
      <alignment vertical="center"/>
    </xf>
    <xf numFmtId="0" fontId="17" fillId="0" borderId="0" xfId="0" applyFont="1" applyAlignment="1">
      <alignment horizontal="right" vertical="center"/>
    </xf>
    <xf numFmtId="0" fontId="17" fillId="0" borderId="0" xfId="0" applyNumberFormat="1" applyFont="1" applyAlignment="1">
      <alignment vertical="center" wrapText="1"/>
    </xf>
    <xf numFmtId="43" fontId="17" fillId="0" borderId="0" xfId="56" applyNumberFormat="1" applyFont="1" applyAlignment="1">
      <alignment horizontal="center" vertical="center"/>
    </xf>
    <xf numFmtId="0" fontId="18" fillId="38" borderId="22" xfId="0" applyFont="1" applyFill="1" applyBorder="1" applyAlignment="1">
      <alignment horizontal="center" vertical="center"/>
    </xf>
    <xf numFmtId="0" fontId="18" fillId="38" borderId="0" xfId="0" applyNumberFormat="1" applyFont="1" applyFill="1" applyBorder="1" applyAlignment="1">
      <alignment horizontal="center" vertical="center" wrapText="1"/>
    </xf>
    <xf numFmtId="0" fontId="83" fillId="38" borderId="22" xfId="0" applyFont="1" applyFill="1" applyBorder="1" applyAlignment="1">
      <alignment horizontal="center" vertical="center"/>
    </xf>
    <xf numFmtId="0" fontId="83" fillId="38" borderId="0" xfId="0" applyNumberFormat="1" applyFont="1" applyFill="1" applyBorder="1" applyAlignment="1">
      <alignment horizontal="center" vertical="center" wrapText="1"/>
    </xf>
    <xf numFmtId="0" fontId="84" fillId="38" borderId="16" xfId="0" applyFont="1" applyFill="1" applyBorder="1" applyAlignment="1">
      <alignment horizontal="center"/>
    </xf>
    <xf numFmtId="0" fontId="84" fillId="38" borderId="32" xfId="0" applyFont="1" applyFill="1" applyBorder="1" applyAlignment="1">
      <alignment/>
    </xf>
    <xf numFmtId="43" fontId="84" fillId="38" borderId="32" xfId="0" applyNumberFormat="1" applyFont="1" applyFill="1" applyBorder="1" applyAlignment="1">
      <alignment/>
    </xf>
    <xf numFmtId="43" fontId="84" fillId="38" borderId="17" xfId="0" applyNumberFormat="1" applyFont="1" applyFill="1" applyBorder="1" applyAlignment="1">
      <alignment/>
    </xf>
    <xf numFmtId="0" fontId="17" fillId="0" borderId="0" xfId="0" applyFont="1" applyAlignment="1">
      <alignment/>
    </xf>
    <xf numFmtId="10" fontId="17" fillId="0" borderId="0" xfId="56" applyNumberFormat="1" applyFont="1" applyAlignment="1">
      <alignment/>
    </xf>
    <xf numFmtId="0" fontId="81" fillId="35" borderId="15" xfId="0" applyFont="1" applyFill="1" applyBorder="1" applyAlignment="1">
      <alignment horizontal="center"/>
    </xf>
    <xf numFmtId="10" fontId="81" fillId="35" borderId="15" xfId="56" applyNumberFormat="1" applyFont="1" applyFill="1" applyBorder="1" applyAlignment="1">
      <alignment horizontal="center"/>
    </xf>
    <xf numFmtId="0" fontId="17" fillId="0" borderId="33" xfId="0" applyFont="1" applyBorder="1" applyAlignment="1">
      <alignment horizontal="center"/>
    </xf>
    <xf numFmtId="0" fontId="17" fillId="0" borderId="34" xfId="0" applyFont="1" applyBorder="1" applyAlignment="1">
      <alignment horizontal="center"/>
    </xf>
    <xf numFmtId="10" fontId="17" fillId="0" borderId="35" xfId="56" applyNumberFormat="1" applyFont="1" applyBorder="1" applyAlignment="1">
      <alignment horizontal="center"/>
    </xf>
    <xf numFmtId="0" fontId="17" fillId="0" borderId="10" xfId="0" applyFont="1" applyBorder="1" applyAlignment="1">
      <alignment/>
    </xf>
    <xf numFmtId="0" fontId="18" fillId="0" borderId="0" xfId="0" applyFont="1" applyBorder="1" applyAlignment="1">
      <alignment/>
    </xf>
    <xf numFmtId="43" fontId="18" fillId="0" borderId="0" xfId="0" applyNumberFormat="1" applyFont="1" applyBorder="1" applyAlignment="1">
      <alignment/>
    </xf>
    <xf numFmtId="10" fontId="18" fillId="0" borderId="13" xfId="56" applyNumberFormat="1" applyFont="1" applyBorder="1" applyAlignment="1">
      <alignment horizontal="center"/>
    </xf>
    <xf numFmtId="0" fontId="17" fillId="0" borderId="0" xfId="0" applyFont="1" applyBorder="1" applyAlignment="1">
      <alignment/>
    </xf>
    <xf numFmtId="43" fontId="17" fillId="0" borderId="0" xfId="0" applyNumberFormat="1" applyFont="1" applyBorder="1" applyAlignment="1">
      <alignment/>
    </xf>
    <xf numFmtId="10" fontId="17" fillId="0" borderId="13" xfId="56" applyNumberFormat="1" applyFont="1" applyBorder="1" applyAlignment="1">
      <alignment/>
    </xf>
    <xf numFmtId="0" fontId="17" fillId="0" borderId="10" xfId="0" applyFont="1" applyBorder="1" applyAlignment="1">
      <alignment horizontal="center"/>
    </xf>
    <xf numFmtId="0" fontId="85" fillId="35" borderId="27" xfId="0" applyFont="1" applyFill="1" applyBorder="1" applyAlignment="1">
      <alignment/>
    </xf>
    <xf numFmtId="4" fontId="86" fillId="35" borderId="27" xfId="0" applyNumberFormat="1" applyFont="1" applyFill="1" applyBorder="1" applyAlignment="1">
      <alignment horizontal="right"/>
    </xf>
    <xf numFmtId="0" fontId="18" fillId="0" borderId="0" xfId="0" applyFont="1" applyAlignment="1">
      <alignment horizontal="center" vertical="center" wrapText="1"/>
    </xf>
    <xf numFmtId="0" fontId="18" fillId="0" borderId="0" xfId="0" applyNumberFormat="1" applyFont="1" applyAlignment="1">
      <alignment vertical="center"/>
    </xf>
    <xf numFmtId="0" fontId="17" fillId="0" borderId="0" xfId="0" applyFont="1" applyAlignment="1">
      <alignment horizontal="center" vertical="center" wrapText="1"/>
    </xf>
    <xf numFmtId="4" fontId="18" fillId="39" borderId="15" xfId="0" applyNumberFormat="1" applyFont="1" applyFill="1" applyBorder="1" applyAlignment="1">
      <alignment horizontal="right" vertical="center" wrapText="1"/>
    </xf>
    <xf numFmtId="0" fontId="17" fillId="0" borderId="15" xfId="0" applyFont="1" applyBorder="1" applyAlignment="1">
      <alignment vertical="center" wrapText="1"/>
    </xf>
    <xf numFmtId="0" fontId="23" fillId="0" borderId="0" xfId="0" applyFont="1" applyAlignment="1">
      <alignment vertical="center" wrapText="1"/>
    </xf>
    <xf numFmtId="0" fontId="18" fillId="0" borderId="0" xfId="0" applyFont="1" applyAlignment="1">
      <alignment vertical="center" wrapText="1"/>
    </xf>
    <xf numFmtId="0" fontId="18" fillId="37" borderId="15" xfId="0" applyFont="1" applyFill="1" applyBorder="1" applyAlignment="1">
      <alignment vertical="center" wrapText="1"/>
    </xf>
    <xf numFmtId="4" fontId="18" fillId="37" borderId="15" xfId="0" applyNumberFormat="1" applyFont="1" applyFill="1" applyBorder="1" applyAlignment="1">
      <alignment horizontal="right" vertical="center" wrapText="1"/>
    </xf>
    <xf numFmtId="4" fontId="17" fillId="0" borderId="0" xfId="0" applyNumberFormat="1" applyFont="1" applyAlignment="1">
      <alignment horizontal="right" vertical="center" wrapText="1"/>
    </xf>
    <xf numFmtId="4" fontId="17"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0" fontId="18" fillId="0" borderId="15" xfId="0" applyFont="1" applyFill="1" applyBorder="1" applyAlignment="1">
      <alignment horizontal="justify" vertical="center" wrapText="1"/>
    </xf>
    <xf numFmtId="49" fontId="17" fillId="0" borderId="24"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justify" vertical="center" wrapText="1"/>
    </xf>
    <xf numFmtId="0" fontId="18" fillId="0" borderId="15" xfId="0" applyFont="1" applyFill="1" applyBorder="1" applyAlignment="1" applyProtection="1">
      <alignment horizontal="justify" vertical="center" wrapText="1"/>
      <protection/>
    </xf>
    <xf numFmtId="0" fontId="17" fillId="0" borderId="15" xfId="0" applyFont="1" applyFill="1" applyBorder="1" applyAlignment="1" applyProtection="1">
      <alignment horizontal="justify" vertical="center" wrapText="1"/>
      <protection/>
    </xf>
    <xf numFmtId="4" fontId="17" fillId="0" borderId="15" xfId="0" applyNumberFormat="1" applyFont="1" applyFill="1" applyBorder="1" applyAlignment="1">
      <alignment horizontal="right" vertical="center" wrapText="1"/>
    </xf>
    <xf numFmtId="0" fontId="17" fillId="39" borderId="15" xfId="0" applyFont="1" applyFill="1" applyBorder="1" applyAlignment="1" applyProtection="1">
      <alignment horizontal="center" vertical="center" wrapText="1"/>
      <protection/>
    </xf>
    <xf numFmtId="49" fontId="17" fillId="39" borderId="15" xfId="0" applyNumberFormat="1" applyFont="1" applyFill="1" applyBorder="1" applyAlignment="1">
      <alignment horizontal="center" vertical="center" wrapText="1"/>
    </xf>
    <xf numFmtId="0" fontId="17" fillId="39" borderId="16" xfId="0" applyFont="1" applyFill="1" applyBorder="1" applyAlignment="1">
      <alignment horizontal="left" vertical="center" wrapText="1"/>
    </xf>
    <xf numFmtId="4" fontId="17" fillId="0" borderId="15" xfId="0" applyNumberFormat="1" applyFont="1" applyFill="1" applyBorder="1" applyAlignment="1">
      <alignment horizontal="center" vertical="center" wrapText="1"/>
    </xf>
    <xf numFmtId="4" fontId="17" fillId="0" borderId="0" xfId="0" applyNumberFormat="1" applyFont="1" applyAlignment="1">
      <alignment vertical="center" wrapText="1"/>
    </xf>
    <xf numFmtId="4" fontId="18" fillId="0" borderId="15" xfId="0" applyNumberFormat="1" applyFont="1" applyFill="1" applyBorder="1" applyAlignment="1">
      <alignment horizontal="right" vertical="center" wrapText="1"/>
    </xf>
    <xf numFmtId="43" fontId="17" fillId="0" borderId="0" xfId="0" applyNumberFormat="1" applyFont="1" applyBorder="1" applyAlignment="1">
      <alignment vertical="center" wrapText="1"/>
    </xf>
    <xf numFmtId="0" fontId="17" fillId="34" borderId="15" xfId="0" applyFont="1" applyFill="1" applyBorder="1" applyAlignment="1" applyProtection="1">
      <alignment horizontal="justify" vertical="center" wrapText="1"/>
      <protection/>
    </xf>
    <xf numFmtId="4" fontId="17" fillId="34" borderId="20" xfId="0" applyNumberFormat="1" applyFont="1" applyFill="1" applyBorder="1" applyAlignment="1" applyProtection="1">
      <alignment horizontal="right" vertical="center" wrapText="1"/>
      <protection locked="0"/>
    </xf>
    <xf numFmtId="4" fontId="17" fillId="0" borderId="0" xfId="0" applyNumberFormat="1" applyFont="1" applyBorder="1" applyAlignment="1">
      <alignment vertical="center" wrapText="1"/>
    </xf>
    <xf numFmtId="4" fontId="18" fillId="0" borderId="15" xfId="0" applyNumberFormat="1" applyFont="1" applyFill="1" applyBorder="1" applyAlignment="1">
      <alignment vertical="center" wrapText="1"/>
    </xf>
    <xf numFmtId="1" fontId="17" fillId="0" borderId="24" xfId="0" applyNumberFormat="1" applyFont="1" applyFill="1" applyBorder="1" applyAlignment="1">
      <alignment horizontal="center" vertical="center" wrapText="1"/>
    </xf>
    <xf numFmtId="0" fontId="17" fillId="0" borderId="14" xfId="0" applyNumberFormat="1" applyFont="1" applyFill="1" applyBorder="1" applyAlignment="1">
      <alignment horizontal="justify" vertical="center" wrapText="1"/>
    </xf>
    <xf numFmtId="0" fontId="18" fillId="0" borderId="36" xfId="0" applyFont="1" applyFill="1" applyBorder="1" applyAlignment="1">
      <alignment horizontal="justify" vertical="center" wrapText="1"/>
    </xf>
    <xf numFmtId="4" fontId="17" fillId="34" borderId="15" xfId="0" applyNumberFormat="1" applyFont="1" applyFill="1" applyBorder="1" applyAlignment="1" applyProtection="1">
      <alignment horizontal="right" vertical="center" wrapText="1"/>
      <protection locked="0"/>
    </xf>
    <xf numFmtId="1" fontId="17"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7" fillId="34" borderId="16" xfId="0" applyNumberFormat="1" applyFont="1" applyFill="1" applyBorder="1" applyAlignment="1">
      <alignment horizontal="justify" vertical="center" wrapText="1"/>
    </xf>
    <xf numFmtId="43" fontId="17" fillId="34" borderId="15" xfId="0" applyNumberFormat="1" applyFont="1" applyFill="1" applyBorder="1" applyAlignment="1">
      <alignment horizontal="right" vertical="center" wrapText="1"/>
    </xf>
    <xf numFmtId="43" fontId="17" fillId="34" borderId="20" xfId="0" applyNumberFormat="1" applyFont="1" applyFill="1" applyBorder="1" applyAlignment="1">
      <alignment horizontal="right" vertical="center" wrapText="1"/>
    </xf>
    <xf numFmtId="0" fontId="18" fillId="34" borderId="36" xfId="0" applyFont="1" applyFill="1" applyBorder="1" applyAlignment="1">
      <alignment horizontal="justify" vertical="center" wrapText="1"/>
    </xf>
    <xf numFmtId="43" fontId="17" fillId="34" borderId="0" xfId="0" applyNumberFormat="1" applyFont="1" applyFill="1" applyBorder="1" applyAlignment="1">
      <alignment vertical="center" wrapText="1"/>
    </xf>
    <xf numFmtId="0" fontId="17" fillId="34" borderId="0" xfId="0" applyFont="1" applyFill="1" applyAlignment="1">
      <alignment vertical="center" wrapText="1"/>
    </xf>
    <xf numFmtId="4" fontId="18" fillId="34" borderId="15" xfId="0" applyNumberFormat="1" applyFont="1" applyFill="1" applyBorder="1" applyAlignment="1" applyProtection="1">
      <alignment horizontal="right" vertical="center" wrapText="1"/>
      <protection locked="0"/>
    </xf>
    <xf numFmtId="4" fontId="18" fillId="39" borderId="37" xfId="0" applyNumberFormat="1" applyFont="1" applyFill="1" applyBorder="1" applyAlignment="1">
      <alignment horizontal="right" vertical="center" wrapText="1"/>
    </xf>
    <xf numFmtId="4" fontId="17" fillId="0" borderId="20" xfId="0" applyNumberFormat="1" applyFont="1" applyFill="1" applyBorder="1" applyAlignment="1" applyProtection="1">
      <alignment horizontal="right" vertical="center" wrapText="1"/>
      <protection locked="0"/>
    </xf>
    <xf numFmtId="0" fontId="17" fillId="34" borderId="24" xfId="0" applyFont="1" applyFill="1" applyBorder="1" applyAlignment="1" applyProtection="1">
      <alignment horizontal="center" vertical="center" wrapText="1"/>
      <protection/>
    </xf>
    <xf numFmtId="0" fontId="17" fillId="34" borderId="16" xfId="0" applyFont="1" applyFill="1" applyBorder="1" applyAlignment="1">
      <alignment horizontal="left" vertical="center" wrapText="1"/>
    </xf>
    <xf numFmtId="0" fontId="17" fillId="0" borderId="36" xfId="0" applyFont="1" applyFill="1" applyBorder="1" applyAlignment="1">
      <alignment horizontal="justify" vertical="center" wrapText="1"/>
    </xf>
    <xf numFmtId="0" fontId="17" fillId="34" borderId="16" xfId="0" applyFont="1" applyFill="1" applyBorder="1" applyAlignment="1">
      <alignment horizontal="justify" vertical="center" wrapText="1"/>
    </xf>
    <xf numFmtId="0" fontId="17" fillId="34" borderId="15" xfId="0" applyFont="1" applyFill="1" applyBorder="1" applyAlignment="1">
      <alignment horizontal="justify" vertical="center" wrapText="1"/>
    </xf>
    <xf numFmtId="0" fontId="17" fillId="34" borderId="0" xfId="0" applyFont="1" applyFill="1" applyBorder="1" applyAlignment="1">
      <alignment vertical="center" wrapText="1"/>
    </xf>
    <xf numFmtId="43" fontId="18" fillId="34" borderId="15" xfId="0" applyNumberFormat="1" applyFont="1" applyFill="1" applyBorder="1" applyAlignment="1">
      <alignment horizontal="right" vertical="center" wrapText="1"/>
    </xf>
    <xf numFmtId="4" fontId="18" fillId="34" borderId="15" xfId="0" applyNumberFormat="1" applyFont="1" applyFill="1" applyBorder="1" applyAlignment="1">
      <alignment horizontal="right" vertical="center" wrapText="1"/>
    </xf>
    <xf numFmtId="0" fontId="17" fillId="34" borderId="14" xfId="0" applyNumberFormat="1" applyFont="1" applyFill="1" applyBorder="1" applyAlignment="1">
      <alignment horizontal="justify" vertical="center" wrapText="1"/>
    </xf>
    <xf numFmtId="43" fontId="17" fillId="34" borderId="24" xfId="0" applyNumberFormat="1" applyFont="1" applyFill="1" applyBorder="1" applyAlignment="1">
      <alignment horizontal="right" vertical="center" wrapText="1"/>
    </xf>
    <xf numFmtId="43" fontId="17" fillId="0" borderId="15"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4" fontId="17" fillId="0" borderId="0" xfId="0" applyNumberFormat="1" applyFont="1" applyBorder="1" applyAlignment="1">
      <alignment horizontal="right" vertical="center" wrapText="1"/>
    </xf>
    <xf numFmtId="1" fontId="17" fillId="0" borderId="0" xfId="0" applyNumberFormat="1" applyFont="1" applyBorder="1" applyAlignment="1">
      <alignment horizontal="center" vertical="center" wrapText="1"/>
    </xf>
    <xf numFmtId="49" fontId="17" fillId="0" borderId="0"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43" fontId="17" fillId="0" borderId="0" xfId="0" applyNumberFormat="1" applyFont="1" applyBorder="1" applyAlignment="1">
      <alignment horizontal="right" vertical="center" wrapText="1"/>
    </xf>
    <xf numFmtId="4" fontId="17" fillId="0" borderId="0" xfId="0" applyNumberFormat="1" applyFont="1" applyAlignment="1">
      <alignment horizontal="justify" vertical="center" wrapText="1"/>
    </xf>
    <xf numFmtId="0" fontId="18" fillId="0" borderId="15" xfId="0" applyFont="1" applyFill="1" applyBorder="1" applyAlignment="1">
      <alignment horizontal="left" vertical="center" wrapText="1"/>
    </xf>
    <xf numFmtId="0" fontId="17" fillId="34" borderId="15"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18" fillId="34" borderId="15" xfId="0" applyFont="1" applyFill="1" applyBorder="1" applyAlignment="1" applyProtection="1">
      <alignment horizontal="left" vertical="center" wrapText="1"/>
      <protection/>
    </xf>
    <xf numFmtId="4" fontId="18" fillId="34" borderId="15" xfId="0" applyNumberFormat="1" applyFont="1" applyFill="1" applyBorder="1" applyAlignment="1" applyProtection="1">
      <alignment horizontal="left" vertical="center" wrapText="1"/>
      <protection/>
    </xf>
    <xf numFmtId="0" fontId="17" fillId="34" borderId="36" xfId="0" applyFont="1" applyFill="1" applyBorder="1" applyAlignment="1">
      <alignment horizontal="justify" vertical="center" wrapText="1"/>
    </xf>
    <xf numFmtId="1" fontId="17"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justify" vertical="center" wrapText="1"/>
    </xf>
    <xf numFmtId="43" fontId="18" fillId="0" borderId="0" xfId="0" applyNumberFormat="1" applyFont="1" applyBorder="1" applyAlignment="1">
      <alignment horizontal="center" vertical="center"/>
    </xf>
    <xf numFmtId="0" fontId="17"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0" fontId="19" fillId="0" borderId="0" xfId="0" applyFont="1" applyAlignment="1">
      <alignment horizontal="center" vertical="center" wrapText="1"/>
    </xf>
    <xf numFmtId="0" fontId="20" fillId="0" borderId="0" xfId="0" applyFont="1" applyFill="1" applyBorder="1" applyAlignment="1">
      <alignment horizontal="justify" vertical="center" wrapText="1"/>
    </xf>
    <xf numFmtId="0" fontId="78" fillId="35" borderId="15" xfId="0" applyFont="1" applyFill="1" applyBorder="1" applyAlignment="1">
      <alignment vertical="center" wrapText="1"/>
    </xf>
    <xf numFmtId="4" fontId="78" fillId="35" borderId="15" xfId="0" applyNumberFormat="1" applyFont="1" applyFill="1" applyBorder="1" applyAlignment="1">
      <alignment vertical="center" wrapText="1"/>
    </xf>
    <xf numFmtId="10" fontId="78" fillId="35" borderId="15" xfId="0" applyNumberFormat="1" applyFont="1" applyFill="1" applyBorder="1" applyAlignment="1">
      <alignment vertical="center" wrapText="1"/>
    </xf>
    <xf numFmtId="43" fontId="83" fillId="0" borderId="0" xfId="0" applyNumberFormat="1" applyFont="1" applyAlignment="1">
      <alignment vertical="center"/>
    </xf>
    <xf numFmtId="181" fontId="17" fillId="0" borderId="0" xfId="0" applyNumberFormat="1" applyFont="1" applyBorder="1" applyAlignment="1">
      <alignment vertical="center" wrapText="1"/>
    </xf>
    <xf numFmtId="0" fontId="17" fillId="39" borderId="15" xfId="0" applyFont="1" applyFill="1" applyBorder="1" applyAlignment="1">
      <alignment horizontal="left" vertical="center" wrapText="1"/>
    </xf>
    <xf numFmtId="4" fontId="17" fillId="34" borderId="15" xfId="49" applyNumberFormat="1" applyFont="1" applyFill="1" applyBorder="1" applyAlignment="1">
      <alignment horizontal="right" vertical="center" wrapText="1"/>
    </xf>
    <xf numFmtId="1" fontId="17" fillId="34" borderId="15" xfId="0" applyNumberFormat="1" applyFont="1" applyFill="1" applyBorder="1" applyAlignment="1">
      <alignment horizontal="center" vertical="center" wrapText="1"/>
    </xf>
    <xf numFmtId="49" fontId="17" fillId="34" borderId="15" xfId="0" applyNumberFormat="1" applyFont="1" applyFill="1" applyBorder="1" applyAlignment="1">
      <alignment horizontal="center" vertical="center" wrapText="1"/>
    </xf>
    <xf numFmtId="0" fontId="17" fillId="34" borderId="15" xfId="0" applyNumberFormat="1" applyFont="1" applyFill="1" applyBorder="1" applyAlignment="1">
      <alignment horizontal="justify" vertical="center" wrapText="1"/>
    </xf>
    <xf numFmtId="43" fontId="18" fillId="34" borderId="24" xfId="0" applyNumberFormat="1" applyFont="1" applyFill="1" applyBorder="1" applyAlignment="1">
      <alignment horizontal="right" vertical="center" wrapText="1"/>
    </xf>
    <xf numFmtId="0" fontId="87" fillId="34" borderId="0" xfId="0" applyFont="1" applyFill="1" applyAlignment="1">
      <alignment/>
    </xf>
    <xf numFmtId="43" fontId="87" fillId="34" borderId="0" xfId="0" applyNumberFormat="1" applyFont="1" applyFill="1" applyAlignment="1">
      <alignment/>
    </xf>
    <xf numFmtId="4" fontId="5" fillId="0" borderId="0" xfId="0" applyNumberFormat="1" applyFont="1" applyAlignment="1">
      <alignment vertical="center"/>
    </xf>
    <xf numFmtId="0" fontId="81" fillId="35" borderId="15" xfId="0" applyFont="1" applyFill="1" applyBorder="1" applyAlignment="1">
      <alignment horizontal="center" vertical="center" wrapText="1"/>
    </xf>
    <xf numFmtId="0" fontId="81" fillId="35" borderId="15" xfId="0" applyFont="1" applyFill="1" applyBorder="1" applyAlignment="1">
      <alignment vertical="center" wrapText="1"/>
    </xf>
    <xf numFmtId="4" fontId="81" fillId="35" borderId="15" xfId="0" applyNumberFormat="1" applyFont="1" applyFill="1" applyBorder="1" applyAlignment="1">
      <alignment horizontal="center" vertical="center" wrapText="1"/>
    </xf>
    <xf numFmtId="0" fontId="18" fillId="38" borderId="15" xfId="0" applyFont="1" applyFill="1" applyBorder="1" applyAlignment="1">
      <alignment horizontal="center" vertical="center" wrapText="1"/>
    </xf>
    <xf numFmtId="0" fontId="18" fillId="38" borderId="15" xfId="0" applyFont="1" applyFill="1" applyBorder="1" applyAlignment="1">
      <alignment vertical="center" wrapText="1"/>
    </xf>
    <xf numFmtId="4" fontId="18" fillId="38" borderId="15" xfId="0" applyNumberFormat="1" applyFont="1" applyFill="1" applyBorder="1" applyAlignment="1">
      <alignment horizontal="right" vertical="center" wrapText="1"/>
    </xf>
    <xf numFmtId="4" fontId="18" fillId="38" borderId="15" xfId="0" applyNumberFormat="1"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22" fillId="38" borderId="15" xfId="0" applyFont="1" applyFill="1" applyBorder="1" applyAlignment="1">
      <alignment vertical="center" wrapText="1"/>
    </xf>
    <xf numFmtId="0" fontId="17" fillId="38" borderId="15" xfId="0" applyFont="1" applyFill="1" applyBorder="1" applyAlignment="1">
      <alignment vertical="center" wrapText="1"/>
    </xf>
    <xf numFmtId="4" fontId="18" fillId="38" borderId="15" xfId="0" applyNumberFormat="1" applyFont="1" applyFill="1" applyBorder="1" applyAlignment="1" applyProtection="1">
      <alignment horizontal="right" vertical="center" wrapText="1"/>
      <protection locked="0"/>
    </xf>
    <xf numFmtId="0" fontId="18" fillId="0" borderId="15" xfId="0" applyFont="1" applyBorder="1" applyAlignment="1">
      <alignment horizontal="center" vertical="center" wrapText="1"/>
    </xf>
    <xf numFmtId="0" fontId="88" fillId="35" borderId="15" xfId="0" applyFont="1" applyFill="1" applyBorder="1" applyAlignment="1">
      <alignment horizontal="center" vertical="center" wrapText="1"/>
    </xf>
    <xf numFmtId="0" fontId="79" fillId="35" borderId="15" xfId="0" applyFont="1" applyFill="1" applyBorder="1" applyAlignment="1">
      <alignment horizontal="center" vertical="center" wrapText="1"/>
    </xf>
    <xf numFmtId="0" fontId="88" fillId="35" borderId="15" xfId="0" applyFont="1" applyFill="1" applyBorder="1" applyAlignment="1">
      <alignment vertical="center" wrapText="1"/>
    </xf>
    <xf numFmtId="4" fontId="79" fillId="35" borderId="15" xfId="0" applyNumberFormat="1" applyFont="1" applyFill="1" applyBorder="1" applyAlignment="1" applyProtection="1">
      <alignment horizontal="right" vertical="center" wrapText="1"/>
      <protection locked="0"/>
    </xf>
    <xf numFmtId="0" fontId="19" fillId="0" borderId="19" xfId="0" applyFont="1" applyFill="1" applyBorder="1" applyAlignment="1">
      <alignment vertical="center" wrapText="1"/>
    </xf>
    <xf numFmtId="0" fontId="20" fillId="0" borderId="19" xfId="0" applyFont="1" applyFill="1" applyBorder="1" applyAlignment="1">
      <alignment vertical="center" wrapText="1"/>
    </xf>
    <xf numFmtId="4" fontId="17" fillId="38" borderId="15" xfId="0" applyNumberFormat="1" applyFont="1" applyFill="1" applyBorder="1" applyAlignment="1">
      <alignment horizontal="center" vertical="center" wrapText="1"/>
    </xf>
    <xf numFmtId="49" fontId="17" fillId="38" borderId="15" xfId="0" applyNumberFormat="1" applyFont="1" applyFill="1" applyBorder="1" applyAlignment="1">
      <alignment horizontal="center" vertical="center" wrapText="1"/>
    </xf>
    <xf numFmtId="0" fontId="17" fillId="38" borderId="15" xfId="0" applyNumberFormat="1" applyFont="1" applyFill="1" applyBorder="1" applyAlignment="1">
      <alignment horizontal="justify" vertical="center" wrapText="1"/>
    </xf>
    <xf numFmtId="4" fontId="18" fillId="38" borderId="15" xfId="0" applyNumberFormat="1" applyFont="1" applyFill="1" applyBorder="1" applyAlignment="1">
      <alignment horizontal="right" vertical="center" wrapText="1"/>
    </xf>
    <xf numFmtId="43" fontId="18" fillId="34" borderId="15" xfId="0" applyNumberFormat="1" applyFont="1" applyFill="1" applyBorder="1" applyAlignment="1">
      <alignment horizontal="right" vertical="center" wrapText="1"/>
    </xf>
    <xf numFmtId="0" fontId="18" fillId="34" borderId="15" xfId="0" applyFont="1" applyFill="1" applyBorder="1" applyAlignment="1" applyProtection="1">
      <alignment horizontal="left" vertical="center" wrapText="1"/>
      <protection/>
    </xf>
    <xf numFmtId="0" fontId="20" fillId="37" borderId="19" xfId="0" applyFont="1" applyFill="1" applyBorder="1" applyAlignment="1">
      <alignment vertical="center" wrapText="1"/>
    </xf>
    <xf numFmtId="0" fontId="20" fillId="37" borderId="15" xfId="0" applyFont="1" applyFill="1" applyBorder="1" applyAlignment="1">
      <alignment vertical="center" wrapText="1"/>
    </xf>
    <xf numFmtId="4" fontId="20" fillId="37" borderId="24" xfId="49" applyNumberFormat="1" applyFont="1" applyFill="1" applyBorder="1" applyAlignment="1">
      <alignment vertical="center"/>
    </xf>
    <xf numFmtId="4" fontId="17" fillId="34" borderId="15" xfId="0" applyNumberFormat="1" applyFont="1" applyFill="1" applyBorder="1" applyAlignment="1" applyProtection="1">
      <alignment horizontal="right" vertical="center" wrapText="1"/>
      <protection locked="0"/>
    </xf>
    <xf numFmtId="175" fontId="17" fillId="0" borderId="0" xfId="50" applyFont="1" applyAlignment="1">
      <alignment vertical="center" wrapText="1"/>
    </xf>
    <xf numFmtId="0" fontId="20" fillId="37" borderId="15" xfId="0" applyFont="1" applyFill="1" applyBorder="1" applyAlignment="1">
      <alignment horizontal="left" vertical="center" wrapText="1"/>
    </xf>
    <xf numFmtId="4" fontId="20" fillId="37" borderId="15" xfId="49" applyNumberFormat="1" applyFont="1" applyFill="1" applyBorder="1" applyAlignment="1">
      <alignment horizontal="right" vertical="center" wrapText="1"/>
    </xf>
    <xf numFmtId="0" fontId="5" fillId="0" borderId="0" xfId="0" applyFont="1" applyFill="1" applyAlignment="1">
      <alignment horizontal="left" vertical="top" wrapText="1"/>
    </xf>
    <xf numFmtId="171" fontId="5" fillId="0" borderId="0" xfId="0" applyNumberFormat="1" applyFont="1" applyAlignment="1">
      <alignment/>
    </xf>
    <xf numFmtId="0" fontId="89" fillId="35" borderId="28" xfId="0" applyFont="1" applyFill="1" applyBorder="1" applyAlignment="1">
      <alignment horizontal="center"/>
    </xf>
    <xf numFmtId="40" fontId="24" fillId="0" borderId="15" xfId="49" applyNumberFormat="1" applyFont="1" applyFill="1" applyBorder="1" applyAlignment="1">
      <alignment horizontal="right" vertical="center" wrapText="1"/>
    </xf>
    <xf numFmtId="4" fontId="17" fillId="0" borderId="15" xfId="0" applyNumberFormat="1" applyFont="1" applyFill="1" applyBorder="1" applyAlignment="1" applyProtection="1">
      <alignment horizontal="right" vertical="center" wrapText="1"/>
      <protection locked="0"/>
    </xf>
    <xf numFmtId="0" fontId="81" fillId="35" borderId="29" xfId="0" applyFont="1" applyFill="1" applyBorder="1" applyAlignment="1">
      <alignment horizontal="center" vertical="center" wrapText="1"/>
    </xf>
    <xf numFmtId="4" fontId="81" fillId="35" borderId="29" xfId="0" applyNumberFormat="1" applyFont="1" applyFill="1" applyBorder="1" applyAlignment="1">
      <alignment horizontal="right" vertical="center" wrapText="1"/>
    </xf>
    <xf numFmtId="0" fontId="18" fillId="0" borderId="15" xfId="0" applyFont="1" applyFill="1" applyBorder="1" applyAlignment="1" applyProtection="1">
      <alignment horizontal="left" vertical="center" wrapText="1"/>
      <protection/>
    </xf>
    <xf numFmtId="4" fontId="17" fillId="34" borderId="15" xfId="0" applyNumberFormat="1" applyFont="1" applyFill="1" applyBorder="1" applyAlignment="1" applyProtection="1">
      <alignment horizontal="right" vertical="center" wrapText="1"/>
      <protection locked="0"/>
    </xf>
    <xf numFmtId="0" fontId="17" fillId="34" borderId="15" xfId="0" applyFont="1" applyFill="1" applyBorder="1" applyAlignment="1" applyProtection="1">
      <alignment horizontal="left" vertical="center" wrapText="1"/>
      <protection/>
    </xf>
    <xf numFmtId="0" fontId="20" fillId="34" borderId="15" xfId="0" applyFont="1" applyFill="1" applyBorder="1" applyAlignment="1">
      <alignment horizontal="left" vertical="center" wrapText="1"/>
    </xf>
    <xf numFmtId="4" fontId="20" fillId="0" borderId="0" xfId="0" applyNumberFormat="1" applyFont="1" applyFill="1" applyAlignment="1">
      <alignment vertical="center" wrapText="1"/>
    </xf>
    <xf numFmtId="43" fontId="27" fillId="0" borderId="15" xfId="0" applyNumberFormat="1" applyFont="1" applyFill="1" applyBorder="1" applyAlignment="1">
      <alignment horizontal="right" vertical="center" wrapText="1"/>
    </xf>
    <xf numFmtId="43" fontId="18" fillId="0" borderId="15" xfId="0" applyNumberFormat="1" applyFont="1" applyFill="1" applyBorder="1" applyAlignment="1">
      <alignment horizontal="right" vertical="center" wrapText="1"/>
    </xf>
    <xf numFmtId="4" fontId="19" fillId="34" borderId="15" xfId="0" applyNumberFormat="1" applyFont="1" applyFill="1" applyBorder="1" applyAlignment="1">
      <alignment vertical="center"/>
    </xf>
    <xf numFmtId="4" fontId="18" fillId="0" borderId="15" xfId="0" applyNumberFormat="1" applyFont="1" applyFill="1" applyBorder="1" applyAlignment="1" applyProtection="1">
      <alignment horizontal="justify" vertical="center" wrapText="1"/>
      <protection/>
    </xf>
    <xf numFmtId="0" fontId="18" fillId="34" borderId="15" xfId="0" applyFont="1" applyFill="1" applyBorder="1" applyAlignment="1" applyProtection="1">
      <alignment horizontal="justify" vertical="center" wrapText="1"/>
      <protection/>
    </xf>
    <xf numFmtId="0" fontId="17" fillId="34" borderId="15" xfId="0" applyFont="1" applyFill="1" applyBorder="1" applyAlignment="1" applyProtection="1">
      <alignment horizontal="center" vertical="center" wrapText="1"/>
      <protection/>
    </xf>
    <xf numFmtId="178" fontId="18" fillId="0" borderId="0" xfId="0" applyNumberFormat="1" applyFont="1" applyBorder="1" applyAlignment="1">
      <alignment horizontal="center" vertical="center"/>
    </xf>
    <xf numFmtId="178" fontId="81" fillId="35" borderId="21" xfId="0" applyNumberFormat="1" applyFont="1" applyFill="1" applyBorder="1" applyAlignment="1">
      <alignment horizontal="center" vertical="center" wrapText="1"/>
    </xf>
    <xf numFmtId="178" fontId="18" fillId="0" borderId="31" xfId="56" applyNumberFormat="1" applyFont="1" applyFill="1" applyBorder="1" applyAlignment="1">
      <alignment horizontal="center" vertical="center"/>
    </xf>
    <xf numFmtId="178" fontId="17" fillId="0" borderId="0" xfId="56" applyNumberFormat="1" applyFont="1" applyFill="1" applyBorder="1" applyAlignment="1">
      <alignment horizontal="center" vertical="center"/>
    </xf>
    <xf numFmtId="178" fontId="83" fillId="38" borderId="0" xfId="56" applyNumberFormat="1" applyFont="1" applyFill="1" applyBorder="1" applyAlignment="1">
      <alignment horizontal="center" vertical="center"/>
    </xf>
    <xf numFmtId="178" fontId="17" fillId="38" borderId="0" xfId="56" applyNumberFormat="1" applyFont="1" applyFill="1" applyBorder="1" applyAlignment="1">
      <alignment horizontal="center" vertical="center"/>
    </xf>
    <xf numFmtId="178" fontId="17" fillId="0" borderId="26" xfId="56" applyNumberFormat="1" applyFont="1" applyFill="1" applyBorder="1" applyAlignment="1">
      <alignment horizontal="center" vertical="center"/>
    </xf>
    <xf numFmtId="178" fontId="17" fillId="0" borderId="0" xfId="0" applyNumberFormat="1" applyFont="1" applyAlignment="1">
      <alignment vertical="center"/>
    </xf>
    <xf numFmtId="178" fontId="18" fillId="38" borderId="0" xfId="56" applyNumberFormat="1" applyFont="1" applyFill="1" applyBorder="1" applyAlignment="1">
      <alignment horizontal="center" vertical="center"/>
    </xf>
    <xf numFmtId="178" fontId="17" fillId="0" borderId="0" xfId="56" applyNumberFormat="1" applyFont="1" applyAlignment="1">
      <alignment horizontal="center" vertical="center"/>
    </xf>
    <xf numFmtId="178" fontId="18" fillId="0" borderId="28" xfId="56" applyNumberFormat="1" applyFont="1" applyFill="1" applyBorder="1" applyAlignment="1">
      <alignment horizontal="center" vertical="center"/>
    </xf>
    <xf numFmtId="0" fontId="18" fillId="0" borderId="22" xfId="0" applyFont="1" applyBorder="1" applyAlignment="1">
      <alignment horizontal="right" vertical="center"/>
    </xf>
    <xf numFmtId="0" fontId="18" fillId="0" borderId="0" xfId="0" applyNumberFormat="1" applyFont="1" applyBorder="1" applyAlignment="1">
      <alignment horizontal="center" vertical="center" wrapText="1"/>
    </xf>
    <xf numFmtId="43" fontId="18" fillId="0" borderId="0" xfId="0" applyNumberFormat="1" applyFont="1" applyFill="1" applyBorder="1" applyAlignment="1">
      <alignment vertical="center"/>
    </xf>
    <xf numFmtId="178" fontId="18" fillId="0" borderId="0" xfId="56" applyNumberFormat="1" applyFont="1" applyFill="1" applyBorder="1" applyAlignment="1">
      <alignment horizontal="center" vertical="center"/>
    </xf>
    <xf numFmtId="178" fontId="18" fillId="0" borderId="23" xfId="56" applyNumberFormat="1" applyFont="1" applyFill="1" applyBorder="1" applyAlignment="1">
      <alignment horizontal="center" vertical="center"/>
    </xf>
    <xf numFmtId="178" fontId="18" fillId="0" borderId="0" xfId="0" applyNumberFormat="1" applyFont="1" applyFill="1" applyBorder="1" applyAlignment="1">
      <alignment horizontal="center" vertical="center"/>
    </xf>
    <xf numFmtId="178" fontId="17" fillId="0" borderId="23" xfId="56" applyNumberFormat="1" applyFont="1" applyFill="1" applyBorder="1" applyAlignment="1">
      <alignment horizontal="center" vertical="center"/>
    </xf>
    <xf numFmtId="0" fontId="20" fillId="34" borderId="15" xfId="0" applyFont="1" applyFill="1" applyBorder="1" applyAlignment="1">
      <alignment horizontal="left" vertical="center" wrapText="1"/>
    </xf>
    <xf numFmtId="4" fontId="78" fillId="35" borderId="15" xfId="0" applyNumberFormat="1" applyFont="1" applyFill="1" applyBorder="1" applyAlignment="1">
      <alignment horizontal="right" vertical="center"/>
    </xf>
    <xf numFmtId="0" fontId="18" fillId="34" borderId="15" xfId="0" applyFont="1" applyFill="1" applyBorder="1" applyAlignment="1">
      <alignment vertical="center" wrapText="1"/>
    </xf>
    <xf numFmtId="0" fontId="18" fillId="34" borderId="15" xfId="0" applyFont="1" applyFill="1" applyBorder="1" applyAlignment="1">
      <alignment horizontal="center" vertical="center" wrapText="1"/>
    </xf>
    <xf numFmtId="4" fontId="18" fillId="34" borderId="15" xfId="0" applyNumberFormat="1" applyFont="1" applyFill="1" applyBorder="1" applyAlignment="1">
      <alignment horizontal="left" vertical="center" wrapText="1"/>
    </xf>
    <xf numFmtId="4" fontId="17" fillId="34" borderId="15" xfId="0" applyNumberFormat="1" applyFont="1" applyFill="1" applyBorder="1" applyAlignment="1" applyProtection="1">
      <alignment horizontal="left" vertical="center" wrapText="1"/>
      <protection locked="0"/>
    </xf>
    <xf numFmtId="0" fontId="17" fillId="34" borderId="15" xfId="0" applyFont="1" applyFill="1" applyBorder="1" applyAlignment="1">
      <alignment vertical="center" wrapText="1"/>
    </xf>
    <xf numFmtId="0" fontId="20" fillId="34" borderId="15" xfId="0" applyFont="1" applyFill="1" applyBorder="1" applyAlignment="1">
      <alignment horizontal="left" vertical="center" wrapText="1"/>
    </xf>
    <xf numFmtId="4" fontId="20" fillId="34" borderId="0" xfId="0" applyNumberFormat="1" applyFont="1" applyFill="1" applyAlignment="1">
      <alignment horizontal="left" vertical="center" wrapText="1"/>
    </xf>
    <xf numFmtId="0" fontId="20" fillId="0" borderId="3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8" fillId="35" borderId="16" xfId="0" applyFont="1" applyFill="1" applyBorder="1" applyAlignment="1">
      <alignment horizontal="center" vertical="center"/>
    </xf>
    <xf numFmtId="0" fontId="78" fillId="35" borderId="17" xfId="0" applyFont="1" applyFill="1" applyBorder="1" applyAlignment="1">
      <alignment horizontal="center"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9" fillId="0" borderId="0" xfId="0" applyFont="1" applyAlignment="1">
      <alignment horizontal="center" vertical="center"/>
    </xf>
    <xf numFmtId="4" fontId="17" fillId="34" borderId="15" xfId="0" applyNumberFormat="1" applyFont="1" applyFill="1" applyBorder="1" applyAlignment="1" applyProtection="1">
      <alignment horizontal="right" vertical="center" wrapText="1"/>
      <protection locked="0"/>
    </xf>
    <xf numFmtId="0" fontId="17" fillId="34" borderId="16" xfId="0" applyFont="1" applyFill="1" applyBorder="1" applyAlignment="1" applyProtection="1">
      <alignment horizontal="left" vertical="center" wrapText="1"/>
      <protection/>
    </xf>
    <xf numFmtId="0" fontId="17" fillId="34" borderId="17" xfId="0" applyFont="1" applyFill="1" applyBorder="1" applyAlignment="1" applyProtection="1">
      <alignment horizontal="left" vertical="center" wrapText="1"/>
      <protection/>
    </xf>
    <xf numFmtId="0" fontId="78" fillId="35" borderId="16" xfId="0" applyFont="1" applyFill="1" applyBorder="1" applyAlignment="1">
      <alignment horizontal="left" vertical="center" wrapText="1"/>
    </xf>
    <xf numFmtId="0" fontId="78" fillId="35" borderId="32" xfId="0" applyFont="1" applyFill="1" applyBorder="1" applyAlignment="1">
      <alignment horizontal="left" vertical="center" wrapText="1"/>
    </xf>
    <xf numFmtId="0" fontId="78" fillId="35" borderId="17" xfId="0" applyFont="1" applyFill="1" applyBorder="1" applyAlignment="1">
      <alignment horizontal="left" vertical="center" wrapText="1"/>
    </xf>
    <xf numFmtId="0" fontId="20" fillId="0" borderId="16" xfId="0" applyFont="1" applyFill="1" applyBorder="1" applyAlignment="1">
      <alignment horizontal="justify" vertical="center" wrapText="1"/>
    </xf>
    <xf numFmtId="0" fontId="20" fillId="0" borderId="32" xfId="0"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78" fillId="35" borderId="15" xfId="0" applyFont="1" applyFill="1" applyBorder="1" applyAlignment="1">
      <alignment horizontal="center" vertical="center" wrapText="1"/>
    </xf>
    <xf numFmtId="4" fontId="78" fillId="35" borderId="16" xfId="0" applyNumberFormat="1" applyFont="1" applyFill="1" applyBorder="1" applyAlignment="1">
      <alignment horizontal="right" vertical="center" wrapText="1"/>
    </xf>
    <xf numFmtId="0" fontId="78" fillId="35" borderId="17" xfId="0" applyFont="1" applyFill="1" applyBorder="1" applyAlignment="1">
      <alignment horizontal="right" vertical="center" wrapText="1"/>
    </xf>
    <xf numFmtId="0" fontId="19" fillId="0" borderId="0" xfId="0" applyFont="1" applyAlignment="1">
      <alignment horizontal="center" vertical="center" wrapText="1"/>
    </xf>
    <xf numFmtId="0" fontId="20" fillId="0" borderId="0" xfId="0" applyFont="1" applyFill="1" applyBorder="1" applyAlignment="1">
      <alignment horizontal="justify" vertical="center" wrapText="1"/>
    </xf>
    <xf numFmtId="0" fontId="86" fillId="40" borderId="15" xfId="0" applyFont="1" applyFill="1" applyBorder="1" applyAlignment="1">
      <alignment horizontal="center" vertical="center" wrapText="1"/>
    </xf>
    <xf numFmtId="4" fontId="86" fillId="40" borderId="16" xfId="0" applyNumberFormat="1" applyFont="1" applyFill="1" applyBorder="1" applyAlignment="1">
      <alignment horizontal="right" vertical="center" wrapText="1"/>
    </xf>
    <xf numFmtId="0" fontId="86" fillId="40" borderId="17" xfId="0" applyFont="1" applyFill="1" applyBorder="1" applyAlignment="1">
      <alignment horizontal="right" vertical="center" wrapText="1"/>
    </xf>
    <xf numFmtId="4" fontId="20" fillId="34" borderId="16" xfId="49" applyNumberFormat="1" applyFont="1" applyFill="1" applyBorder="1" applyAlignment="1">
      <alignment horizontal="right" vertical="center" wrapText="1"/>
    </xf>
    <xf numFmtId="4" fontId="20" fillId="34" borderId="17" xfId="49" applyNumberFormat="1" applyFont="1" applyFill="1" applyBorder="1" applyAlignment="1">
      <alignment horizontal="right" vertical="center" wrapText="1"/>
    </xf>
    <xf numFmtId="0" fontId="20" fillId="34" borderId="33" xfId="0" applyFont="1" applyFill="1" applyBorder="1" applyAlignment="1">
      <alignment horizontal="left" vertical="center" wrapText="1"/>
    </xf>
    <xf numFmtId="0" fontId="20" fillId="34" borderId="34" xfId="0" applyFont="1" applyFill="1" applyBorder="1" applyAlignment="1">
      <alignment horizontal="left" vertical="center" wrapText="1"/>
    </xf>
    <xf numFmtId="0" fontId="20" fillId="34" borderId="35" xfId="0" applyFont="1" applyFill="1" applyBorder="1" applyAlignment="1">
      <alignment horizontal="left" vertical="center" wrapText="1"/>
    </xf>
    <xf numFmtId="43" fontId="86" fillId="40" borderId="15" xfId="0" applyNumberFormat="1" applyFont="1" applyFill="1" applyBorder="1" applyAlignment="1">
      <alignment horizontal="center" vertical="center" wrapText="1"/>
    </xf>
    <xf numFmtId="0" fontId="86" fillId="40" borderId="16" xfId="0" applyFont="1" applyFill="1" applyBorder="1" applyAlignment="1">
      <alignment horizontal="center" vertical="center" wrapText="1"/>
    </xf>
    <xf numFmtId="0" fontId="86" fillId="40" borderId="32" xfId="0" applyFont="1" applyFill="1" applyBorder="1" applyAlignment="1">
      <alignment horizontal="center" vertical="center" wrapText="1"/>
    </xf>
    <xf numFmtId="0" fontId="86" fillId="40" borderId="17" xfId="0" applyFont="1" applyFill="1" applyBorder="1" applyAlignment="1">
      <alignment horizontal="center" vertical="center" wrapText="1"/>
    </xf>
    <xf numFmtId="4" fontId="20" fillId="34" borderId="16" xfId="49" applyNumberFormat="1" applyFont="1" applyFill="1" applyBorder="1" applyAlignment="1">
      <alignment horizontal="right" vertical="center"/>
    </xf>
    <xf numFmtId="4" fontId="20" fillId="34" borderId="17" xfId="49" applyNumberFormat="1" applyFont="1" applyFill="1" applyBorder="1" applyAlignment="1">
      <alignment horizontal="right" vertical="center"/>
    </xf>
    <xf numFmtId="0" fontId="20" fillId="34" borderId="16" xfId="0" applyFont="1" applyFill="1" applyBorder="1" applyAlignment="1">
      <alignment horizontal="left" vertical="center" wrapText="1"/>
    </xf>
    <xf numFmtId="0" fontId="20" fillId="34" borderId="32" xfId="0" applyFont="1" applyFill="1" applyBorder="1" applyAlignment="1">
      <alignment horizontal="left" vertical="center" wrapText="1"/>
    </xf>
    <xf numFmtId="0" fontId="20" fillId="34" borderId="17" xfId="0" applyFont="1" applyFill="1" applyBorder="1" applyAlignment="1">
      <alignment horizontal="left" vertical="center" wrapText="1"/>
    </xf>
    <xf numFmtId="0" fontId="5" fillId="0" borderId="0" xfId="0" applyFont="1" applyFill="1" applyAlignment="1">
      <alignment horizontal="justify" vertical="center" wrapText="1"/>
    </xf>
    <xf numFmtId="0" fontId="5" fillId="0" borderId="0" xfId="0" applyFont="1" applyFill="1" applyAlignment="1">
      <alignment horizontal="left" vertical="top" wrapText="1"/>
    </xf>
    <xf numFmtId="0" fontId="86" fillId="40" borderId="0" xfId="0" applyFont="1" applyFill="1" applyAlignment="1">
      <alignment horizontal="center" vertical="center" wrapText="1"/>
    </xf>
    <xf numFmtId="0" fontId="20" fillId="34" borderId="38" xfId="0" applyFont="1" applyFill="1" applyBorder="1" applyAlignment="1">
      <alignment horizontal="left" vertical="center" wrapText="1"/>
    </xf>
    <xf numFmtId="43" fontId="5" fillId="37" borderId="39" xfId="0" applyNumberFormat="1" applyFont="1" applyFill="1" applyBorder="1" applyAlignment="1">
      <alignment horizontal="center" vertical="center" wrapText="1"/>
    </xf>
    <xf numFmtId="43" fontId="5" fillId="37" borderId="17" xfId="0" applyNumberFormat="1" applyFont="1" applyFill="1" applyBorder="1" applyAlignment="1">
      <alignment horizontal="center" vertical="center" wrapText="1"/>
    </xf>
    <xf numFmtId="0" fontId="20" fillId="37" borderId="16" xfId="0" applyFont="1" applyFill="1" applyBorder="1" applyAlignment="1">
      <alignment horizontal="left" vertical="center" wrapText="1"/>
    </xf>
    <xf numFmtId="0" fontId="20" fillId="37" borderId="32" xfId="0" applyFont="1" applyFill="1" applyBorder="1" applyAlignment="1">
      <alignment horizontal="left" vertical="center" wrapText="1"/>
    </xf>
    <xf numFmtId="0" fontId="20" fillId="37" borderId="38" xfId="0" applyFont="1" applyFill="1" applyBorder="1" applyAlignment="1">
      <alignment horizontal="left" vertical="center" wrapText="1"/>
    </xf>
    <xf numFmtId="0" fontId="4" fillId="33" borderId="0" xfId="0" applyFont="1" applyFill="1" applyAlignment="1">
      <alignment horizontal="left" vertical="center" wrapText="1"/>
    </xf>
    <xf numFmtId="0" fontId="4" fillId="0" borderId="0" xfId="0" applyFont="1" applyAlignment="1">
      <alignment horizontal="center"/>
    </xf>
    <xf numFmtId="43" fontId="86" fillId="40" borderId="16" xfId="0" applyNumberFormat="1" applyFont="1" applyFill="1" applyBorder="1" applyAlignment="1">
      <alignment horizontal="center" vertical="center" wrapText="1"/>
    </xf>
    <xf numFmtId="43" fontId="20" fillId="34" borderId="39" xfId="0" applyNumberFormat="1" applyFont="1" applyFill="1" applyBorder="1" applyAlignment="1">
      <alignment horizontal="center" vertical="center" wrapText="1"/>
    </xf>
    <xf numFmtId="43" fontId="20" fillId="34" borderId="17" xfId="0" applyNumberFormat="1" applyFont="1" applyFill="1" applyBorder="1" applyAlignment="1">
      <alignment horizontal="center" vertical="center" wrapText="1"/>
    </xf>
    <xf numFmtId="43" fontId="20" fillId="37" borderId="39" xfId="0" applyNumberFormat="1" applyFont="1" applyFill="1" applyBorder="1" applyAlignment="1">
      <alignment horizontal="center" vertical="center" wrapText="1"/>
    </xf>
    <xf numFmtId="43" fontId="20" fillId="37" borderId="17" xfId="0" applyNumberFormat="1" applyFont="1" applyFill="1" applyBorder="1" applyAlignment="1">
      <alignment horizontal="center" vertical="center" wrapText="1"/>
    </xf>
    <xf numFmtId="43" fontId="5" fillId="34" borderId="39" xfId="0" applyNumberFormat="1" applyFont="1" applyFill="1" applyBorder="1" applyAlignment="1">
      <alignment horizontal="center" vertical="center" wrapText="1"/>
    </xf>
    <xf numFmtId="43" fontId="5" fillId="34" borderId="17"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78" fillId="35" borderId="40" xfId="0" applyNumberFormat="1" applyFont="1" applyFill="1" applyBorder="1" applyAlignment="1">
      <alignment horizontal="center" vertical="center" wrapText="1"/>
    </xf>
    <xf numFmtId="49" fontId="78" fillId="35" borderId="41"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xf>
    <xf numFmtId="49" fontId="79" fillId="35" borderId="40" xfId="0" applyNumberFormat="1" applyFont="1" applyFill="1" applyBorder="1" applyAlignment="1">
      <alignment horizontal="center" vertical="center"/>
    </xf>
    <xf numFmtId="49" fontId="79" fillId="35" borderId="41"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49" fontId="78" fillId="35" borderId="25" xfId="0" applyNumberFormat="1" applyFont="1" applyFill="1" applyBorder="1" applyAlignment="1">
      <alignment horizontal="center" vertical="center" wrapText="1"/>
    </xf>
    <xf numFmtId="49" fontId="78" fillId="35" borderId="27"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81" fillId="35" borderId="16" xfId="0" applyNumberFormat="1" applyFont="1" applyFill="1" applyBorder="1" applyAlignment="1">
      <alignment horizontal="center" vertical="center" wrapText="1"/>
    </xf>
    <xf numFmtId="49" fontId="81" fillId="35" borderId="17" xfId="0" applyNumberFormat="1" applyFont="1" applyFill="1" applyBorder="1" applyAlignment="1">
      <alignment horizontal="center" vertical="center" wrapText="1"/>
    </xf>
    <xf numFmtId="0" fontId="18" fillId="0" borderId="0" xfId="0" applyFont="1" applyAlignment="1">
      <alignment horizontal="center" vertical="center"/>
    </xf>
    <xf numFmtId="0" fontId="18" fillId="0" borderId="0" xfId="0" applyNumberFormat="1" applyFont="1" applyAlignment="1">
      <alignment horizontal="center" vertical="center"/>
    </xf>
    <xf numFmtId="0" fontId="18" fillId="0" borderId="0" xfId="0" applyFont="1" applyBorder="1" applyAlignment="1">
      <alignment horizontal="center" vertical="center"/>
    </xf>
    <xf numFmtId="0" fontId="1" fillId="0" borderId="0" xfId="0" applyFont="1" applyAlignment="1">
      <alignment horizontal="center"/>
    </xf>
    <xf numFmtId="49" fontId="1" fillId="0" borderId="0" xfId="0" applyNumberFormat="1" applyFont="1" applyAlignment="1">
      <alignment horizontal="center"/>
    </xf>
    <xf numFmtId="0" fontId="18" fillId="0" borderId="0" xfId="0" applyFont="1" applyAlignment="1">
      <alignment horizontal="center"/>
    </xf>
    <xf numFmtId="49" fontId="18" fillId="0" borderId="0" xfId="0" applyNumberFormat="1" applyFont="1" applyAlignment="1">
      <alignment horizontal="center"/>
    </xf>
    <xf numFmtId="0" fontId="20" fillId="37" borderId="39" xfId="0" applyFont="1" applyFill="1" applyBorder="1" applyAlignment="1">
      <alignment horizontal="center" vertical="center" wrapText="1"/>
    </xf>
    <xf numFmtId="0" fontId="20" fillId="37" borderId="17" xfId="0" applyFont="1" applyFill="1" applyBorder="1" applyAlignment="1">
      <alignment horizontal="center" vertical="center" wrapText="1"/>
    </xf>
    <xf numFmtId="0" fontId="20" fillId="34" borderId="39"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14"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0" fillId="0" borderId="26" xfId="0" applyFont="1" applyBorder="1" applyAlignment="1">
      <alignment/>
    </xf>
    <xf numFmtId="0" fontId="89" fillId="35" borderId="30" xfId="0" applyFont="1" applyFill="1" applyBorder="1" applyAlignment="1">
      <alignment horizontal="center"/>
    </xf>
    <xf numFmtId="0" fontId="89" fillId="35" borderId="28" xfId="0" applyFont="1" applyFill="1" applyBorder="1" applyAlignment="1">
      <alignment horizontal="center"/>
    </xf>
    <xf numFmtId="0" fontId="20" fillId="37" borderId="17" xfId="0" applyFont="1" applyFill="1" applyBorder="1" applyAlignment="1">
      <alignment horizontal="left" vertical="center" wrapText="1"/>
    </xf>
    <xf numFmtId="0" fontId="1" fillId="0" borderId="0" xfId="0" applyFont="1" applyAlignment="1">
      <alignment/>
    </xf>
    <xf numFmtId="0" fontId="86" fillId="35" borderId="25" xfId="0" applyFont="1" applyFill="1" applyBorder="1" applyAlignment="1">
      <alignment wrapText="1"/>
    </xf>
    <xf numFmtId="0" fontId="90" fillId="35" borderId="27" xfId="0" applyFont="1" applyFill="1" applyBorder="1" applyAlignment="1">
      <alignment wrapText="1"/>
    </xf>
    <xf numFmtId="0" fontId="85" fillId="35" borderId="25" xfId="0" applyFont="1" applyFill="1" applyBorder="1" applyAlignment="1">
      <alignment/>
    </xf>
    <xf numFmtId="0" fontId="85" fillId="35" borderId="27" xfId="0" applyFont="1" applyFill="1" applyBorder="1" applyAlignment="1">
      <alignment/>
    </xf>
    <xf numFmtId="0" fontId="0" fillId="0" borderId="31" xfId="0" applyFont="1" applyBorder="1" applyAlignment="1">
      <alignment/>
    </xf>
    <xf numFmtId="0" fontId="18" fillId="0" borderId="0" xfId="0" applyFont="1" applyAlignment="1">
      <alignment horizontal="left" vertical="center" wrapText="1"/>
    </xf>
    <xf numFmtId="0" fontId="18" fillId="0" borderId="0" xfId="0" applyFont="1" applyAlignment="1">
      <alignment horizontal="center" vertical="center" wrapText="1"/>
    </xf>
    <xf numFmtId="2" fontId="18" fillId="0" borderId="0" xfId="0" applyNumberFormat="1" applyFont="1" applyAlignment="1">
      <alignment horizontal="center" vertical="center" wrapText="1"/>
    </xf>
    <xf numFmtId="0" fontId="81" fillId="35" borderId="18" xfId="0" applyFont="1" applyFill="1" applyBorder="1" applyAlignment="1">
      <alignment horizontal="center" vertical="center" wrapText="1"/>
    </xf>
    <xf numFmtId="0" fontId="81" fillId="35" borderId="42" xfId="0" applyFont="1" applyFill="1" applyBorder="1" applyAlignment="1">
      <alignment horizontal="center" vertical="center" wrapText="1"/>
    </xf>
    <xf numFmtId="4" fontId="81" fillId="35" borderId="18" xfId="0" applyNumberFormat="1" applyFont="1" applyFill="1" applyBorder="1" applyAlignment="1">
      <alignment horizontal="center" vertical="center" wrapText="1"/>
    </xf>
    <xf numFmtId="4" fontId="81" fillId="35" borderId="42" xfId="0" applyNumberFormat="1" applyFont="1" applyFill="1" applyBorder="1" applyAlignment="1">
      <alignment horizontal="center" vertical="center" wrapText="1"/>
    </xf>
    <xf numFmtId="0" fontId="18" fillId="0" borderId="34" xfId="0" applyFont="1" applyBorder="1" applyAlignment="1">
      <alignment horizontal="center" vertical="center" wrapText="1"/>
    </xf>
    <xf numFmtId="0" fontId="81" fillId="35" borderId="43" xfId="0" applyFont="1" applyFill="1" applyBorder="1" applyAlignment="1">
      <alignment horizontal="center" vertical="center" wrapText="1"/>
    </xf>
    <xf numFmtId="0" fontId="81" fillId="35" borderId="44" xfId="0" applyFont="1" applyFill="1" applyBorder="1" applyAlignment="1">
      <alignment horizontal="center" vertical="center" wrapText="1"/>
    </xf>
    <xf numFmtId="0" fontId="17" fillId="41" borderId="40" xfId="0" applyFont="1" applyFill="1" applyBorder="1" applyAlignment="1">
      <alignment horizontal="justify" vertical="center" wrapText="1"/>
    </xf>
    <xf numFmtId="0" fontId="17" fillId="41" borderId="45" xfId="0" applyFont="1" applyFill="1" applyBorder="1" applyAlignment="1">
      <alignment horizontal="justify" vertical="center" wrapText="1"/>
    </xf>
    <xf numFmtId="0" fontId="17" fillId="41" borderId="41" xfId="0" applyFont="1" applyFill="1" applyBorder="1" applyAlignment="1">
      <alignment horizontal="justify" vertical="center" wrapText="1"/>
    </xf>
    <xf numFmtId="0" fontId="91" fillId="40" borderId="0" xfId="0" applyFont="1" applyFill="1" applyAlignment="1">
      <alignment horizontal="center"/>
    </xf>
    <xf numFmtId="4" fontId="19" fillId="38" borderId="15" xfId="0" applyNumberFormat="1" applyFont="1" applyFill="1" applyBorder="1" applyAlignment="1">
      <alignment vertical="center"/>
    </xf>
    <xf numFmtId="0" fontId="20" fillId="38" borderId="0" xfId="0" applyFont="1" applyFill="1" applyAlignment="1">
      <alignment horizontal="left" vertical="center" wrapText="1"/>
    </xf>
    <xf numFmtId="4" fontId="20" fillId="38" borderId="15" xfId="0" applyNumberFormat="1" applyFont="1" applyFill="1" applyBorder="1" applyAlignment="1">
      <alignment vertical="center"/>
    </xf>
    <xf numFmtId="49" fontId="20" fillId="38" borderId="19" xfId="0" applyNumberFormat="1" applyFont="1" applyFill="1" applyBorder="1" applyAlignment="1">
      <alignment vertical="center" wrapText="1"/>
    </xf>
    <xf numFmtId="49" fontId="20" fillId="38" borderId="15" xfId="0" applyNumberFormat="1" applyFont="1" applyFill="1" applyBorder="1" applyAlignment="1">
      <alignment vertical="center" wrapText="1"/>
    </xf>
    <xf numFmtId="43" fontId="20" fillId="38" borderId="15" xfId="0" applyNumberFormat="1" applyFont="1" applyFill="1" applyBorder="1" applyAlignment="1">
      <alignment vertical="center" wrapText="1"/>
    </xf>
    <xf numFmtId="0" fontId="20" fillId="38" borderId="20" xfId="0" applyFont="1" applyFill="1" applyBorder="1" applyAlignment="1">
      <alignment vertical="center" wrapText="1"/>
    </xf>
    <xf numFmtId="0" fontId="20" fillId="38" borderId="19" xfId="0" applyFont="1" applyFill="1" applyBorder="1" applyAlignment="1">
      <alignment vertical="center" wrapText="1"/>
    </xf>
    <xf numFmtId="0" fontId="20" fillId="38" borderId="15" xfId="0" applyFont="1" applyFill="1" applyBorder="1" applyAlignment="1">
      <alignment vertical="center" wrapText="1"/>
    </xf>
    <xf numFmtId="4" fontId="20" fillId="38" borderId="24" xfId="49" applyNumberFormat="1" applyFont="1" applyFill="1" applyBorder="1" applyAlignment="1">
      <alignment vertical="center"/>
    </xf>
    <xf numFmtId="49" fontId="17" fillId="38" borderId="15" xfId="0" applyNumberFormat="1" applyFont="1" applyFill="1" applyBorder="1" applyAlignment="1">
      <alignment horizontal="justify" vertical="center" wrapText="1"/>
    </xf>
    <xf numFmtId="49" fontId="0" fillId="38" borderId="15" xfId="0" applyNumberFormat="1" applyFill="1" applyBorder="1" applyAlignment="1" applyProtection="1">
      <alignment horizontal="left" vertical="center" wrapText="1"/>
      <protection locked="0"/>
    </xf>
    <xf numFmtId="4" fontId="0" fillId="38" borderId="15" xfId="0" applyNumberFormat="1" applyFill="1" applyBorder="1" applyAlignment="1">
      <alignment vertical="center" wrapText="1"/>
    </xf>
    <xf numFmtId="0" fontId="0" fillId="38" borderId="15" xfId="0" applyFont="1" applyFill="1" applyBorder="1" applyAlignment="1">
      <alignment vertical="center" wrapText="1"/>
    </xf>
    <xf numFmtId="0" fontId="0" fillId="38" borderId="15" xfId="0" applyFill="1" applyBorder="1" applyAlignment="1">
      <alignment vertical="center" wrapText="1"/>
    </xf>
    <xf numFmtId="43" fontId="20" fillId="0" borderId="0" xfId="0" applyNumberFormat="1" applyFont="1" applyAlignment="1">
      <alignmen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0</xdr:row>
      <xdr:rowOff>123825</xdr:rowOff>
    </xdr:from>
    <xdr:to>
      <xdr:col>3</xdr:col>
      <xdr:colOff>533400</xdr:colOff>
      <xdr:row>2</xdr:row>
      <xdr:rowOff>190500</xdr:rowOff>
    </xdr:to>
    <xdr:pic>
      <xdr:nvPicPr>
        <xdr:cNvPr id="1" name="2 Imagen"/>
        <xdr:cNvPicPr preferRelativeResize="1">
          <a:picLocks noChangeAspect="1"/>
        </xdr:cNvPicPr>
      </xdr:nvPicPr>
      <xdr:blipFill>
        <a:blip r:embed="rId1"/>
        <a:stretch>
          <a:fillRect/>
        </a:stretch>
      </xdr:blipFill>
      <xdr:spPr>
        <a:xfrm>
          <a:off x="5753100" y="123825"/>
          <a:ext cx="16668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0</xdr:row>
      <xdr:rowOff>123825</xdr:rowOff>
    </xdr:from>
    <xdr:to>
      <xdr:col>5</xdr:col>
      <xdr:colOff>1552575</xdr:colOff>
      <xdr:row>2</xdr:row>
      <xdr:rowOff>104775</xdr:rowOff>
    </xdr:to>
    <xdr:pic>
      <xdr:nvPicPr>
        <xdr:cNvPr id="1" name="2 Imagen"/>
        <xdr:cNvPicPr preferRelativeResize="1">
          <a:picLocks noChangeAspect="1"/>
        </xdr:cNvPicPr>
      </xdr:nvPicPr>
      <xdr:blipFill>
        <a:blip r:embed="rId1"/>
        <a:stretch>
          <a:fillRect/>
        </a:stretch>
      </xdr:blipFill>
      <xdr:spPr>
        <a:xfrm>
          <a:off x="7343775" y="123825"/>
          <a:ext cx="1438275"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1885950</xdr:colOff>
      <xdr:row>0</xdr:row>
      <xdr:rowOff>180975</xdr:rowOff>
    </xdr:from>
    <xdr:to>
      <xdr:col>7</xdr:col>
      <xdr:colOff>1181100</xdr:colOff>
      <xdr:row>3</xdr:row>
      <xdr:rowOff>85725</xdr:rowOff>
    </xdr:to>
    <xdr:pic>
      <xdr:nvPicPr>
        <xdr:cNvPr id="1" name="1 Imagen"/>
        <xdr:cNvPicPr preferRelativeResize="1">
          <a:picLocks noChangeAspect="1"/>
        </xdr:cNvPicPr>
      </xdr:nvPicPr>
      <xdr:blipFill>
        <a:blip r:embed="rId1"/>
        <a:stretch>
          <a:fillRect/>
        </a:stretch>
      </xdr:blipFill>
      <xdr:spPr>
        <a:xfrm>
          <a:off x="8743950" y="180975"/>
          <a:ext cx="14382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409575</xdr:colOff>
      <xdr:row>0</xdr:row>
      <xdr:rowOff>66675</xdr:rowOff>
    </xdr:from>
    <xdr:to>
      <xdr:col>5</xdr:col>
      <xdr:colOff>771525</xdr:colOff>
      <xdr:row>2</xdr:row>
      <xdr:rowOff>142875</xdr:rowOff>
    </xdr:to>
    <xdr:pic>
      <xdr:nvPicPr>
        <xdr:cNvPr id="1" name="1 Imagen"/>
        <xdr:cNvPicPr preferRelativeResize="1">
          <a:picLocks noChangeAspect="1"/>
        </xdr:cNvPicPr>
      </xdr:nvPicPr>
      <xdr:blipFill>
        <a:blip r:embed="rId1"/>
        <a:stretch>
          <a:fillRect/>
        </a:stretch>
      </xdr:blipFill>
      <xdr:spPr>
        <a:xfrm>
          <a:off x="6210300" y="66675"/>
          <a:ext cx="14382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2686050</xdr:colOff>
      <xdr:row>0</xdr:row>
      <xdr:rowOff>57150</xdr:rowOff>
    </xdr:from>
    <xdr:to>
      <xdr:col>3</xdr:col>
      <xdr:colOff>4124325</xdr:colOff>
      <xdr:row>2</xdr:row>
      <xdr:rowOff>76200</xdr:rowOff>
    </xdr:to>
    <xdr:pic>
      <xdr:nvPicPr>
        <xdr:cNvPr id="1" name="1 Imagen"/>
        <xdr:cNvPicPr preferRelativeResize="1">
          <a:picLocks noChangeAspect="1"/>
        </xdr:cNvPicPr>
      </xdr:nvPicPr>
      <xdr:blipFill>
        <a:blip r:embed="rId1"/>
        <a:stretch>
          <a:fillRect/>
        </a:stretch>
      </xdr:blipFill>
      <xdr:spPr>
        <a:xfrm>
          <a:off x="8267700" y="57150"/>
          <a:ext cx="143827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2362200</xdr:colOff>
      <xdr:row>0</xdr:row>
      <xdr:rowOff>76200</xdr:rowOff>
    </xdr:from>
    <xdr:to>
      <xdr:col>3</xdr:col>
      <xdr:colOff>3800475</xdr:colOff>
      <xdr:row>2</xdr:row>
      <xdr:rowOff>85725</xdr:rowOff>
    </xdr:to>
    <xdr:pic>
      <xdr:nvPicPr>
        <xdr:cNvPr id="1" name="1 Imagen"/>
        <xdr:cNvPicPr preferRelativeResize="1">
          <a:picLocks noChangeAspect="1"/>
        </xdr:cNvPicPr>
      </xdr:nvPicPr>
      <xdr:blipFill>
        <a:blip r:embed="rId1"/>
        <a:stretch>
          <a:fillRect/>
        </a:stretch>
      </xdr:blipFill>
      <xdr:spPr>
        <a:xfrm>
          <a:off x="8286750" y="76200"/>
          <a:ext cx="1438275"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2219325</xdr:colOff>
      <xdr:row>0</xdr:row>
      <xdr:rowOff>123825</xdr:rowOff>
    </xdr:from>
    <xdr:to>
      <xdr:col>3</xdr:col>
      <xdr:colOff>3657600</xdr:colOff>
      <xdr:row>2</xdr:row>
      <xdr:rowOff>209550</xdr:rowOff>
    </xdr:to>
    <xdr:pic>
      <xdr:nvPicPr>
        <xdr:cNvPr id="1" name="1 Imagen"/>
        <xdr:cNvPicPr preferRelativeResize="1">
          <a:picLocks noChangeAspect="1"/>
        </xdr:cNvPicPr>
      </xdr:nvPicPr>
      <xdr:blipFill>
        <a:blip r:embed="rId1"/>
        <a:stretch>
          <a:fillRect/>
        </a:stretch>
      </xdr:blipFill>
      <xdr:spPr>
        <a:xfrm>
          <a:off x="8667750" y="123825"/>
          <a:ext cx="143827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1724025</xdr:colOff>
      <xdr:row>0</xdr:row>
      <xdr:rowOff>95250</xdr:rowOff>
    </xdr:from>
    <xdr:to>
      <xdr:col>3</xdr:col>
      <xdr:colOff>3162300</xdr:colOff>
      <xdr:row>2</xdr:row>
      <xdr:rowOff>76200</xdr:rowOff>
    </xdr:to>
    <xdr:pic>
      <xdr:nvPicPr>
        <xdr:cNvPr id="1" name="1 Imagen"/>
        <xdr:cNvPicPr preferRelativeResize="1">
          <a:picLocks noChangeAspect="1"/>
        </xdr:cNvPicPr>
      </xdr:nvPicPr>
      <xdr:blipFill>
        <a:blip r:embed="rId1"/>
        <a:stretch>
          <a:fillRect/>
        </a:stretch>
      </xdr:blipFill>
      <xdr:spPr>
        <a:xfrm>
          <a:off x="8543925" y="95250"/>
          <a:ext cx="1438275"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114300</xdr:rowOff>
    </xdr:from>
    <xdr:to>
      <xdr:col>6</xdr:col>
      <xdr:colOff>933450</xdr:colOff>
      <xdr:row>3</xdr:row>
      <xdr:rowOff>104775</xdr:rowOff>
    </xdr:to>
    <xdr:pic>
      <xdr:nvPicPr>
        <xdr:cNvPr id="1" name="1 Imagen"/>
        <xdr:cNvPicPr preferRelativeResize="1">
          <a:picLocks noChangeAspect="1"/>
        </xdr:cNvPicPr>
      </xdr:nvPicPr>
      <xdr:blipFill>
        <a:blip r:embed="rId1"/>
        <a:stretch>
          <a:fillRect/>
        </a:stretch>
      </xdr:blipFill>
      <xdr:spPr>
        <a:xfrm>
          <a:off x="6753225" y="114300"/>
          <a:ext cx="1438275"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1057275</xdr:colOff>
      <xdr:row>0</xdr:row>
      <xdr:rowOff>200025</xdr:rowOff>
    </xdr:from>
    <xdr:to>
      <xdr:col>3</xdr:col>
      <xdr:colOff>866775</xdr:colOff>
      <xdr:row>2</xdr:row>
      <xdr:rowOff>180975</xdr:rowOff>
    </xdr:to>
    <xdr:pic>
      <xdr:nvPicPr>
        <xdr:cNvPr id="1" name="2 Imagen"/>
        <xdr:cNvPicPr preferRelativeResize="1">
          <a:picLocks noChangeAspect="1"/>
        </xdr:cNvPicPr>
      </xdr:nvPicPr>
      <xdr:blipFill>
        <a:blip r:embed="rId1"/>
        <a:stretch>
          <a:fillRect/>
        </a:stretch>
      </xdr:blipFill>
      <xdr:spPr>
        <a:xfrm>
          <a:off x="4743450" y="200025"/>
          <a:ext cx="1438275"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0</xdr:row>
      <xdr:rowOff>114300</xdr:rowOff>
    </xdr:from>
    <xdr:to>
      <xdr:col>5</xdr:col>
      <xdr:colOff>752475</xdr:colOff>
      <xdr:row>2</xdr:row>
      <xdr:rowOff>190500</xdr:rowOff>
    </xdr:to>
    <xdr:pic>
      <xdr:nvPicPr>
        <xdr:cNvPr id="1" name="1 Imagen"/>
        <xdr:cNvPicPr preferRelativeResize="1">
          <a:picLocks noChangeAspect="1"/>
        </xdr:cNvPicPr>
      </xdr:nvPicPr>
      <xdr:blipFill>
        <a:blip r:embed="rId1"/>
        <a:stretch>
          <a:fillRect/>
        </a:stretch>
      </xdr:blipFill>
      <xdr:spPr>
        <a:xfrm>
          <a:off x="5686425" y="114300"/>
          <a:ext cx="14382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nmora\CONFIG~1\Temp\A&#209;O%202011\PRESUPUESTOS%202011\REBECA\A&#209;O%202010\CONTROL%20DE%20PRESUPUESTO\PRESUPUESTO%20EXTRAORDINARIO%201-2010\PRESUPUESTO%20EXTRAORDINARIO%202010%20al%2014-04-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gresos"/>
      <sheetName val="Prog-I Detalle"/>
      <sheetName val="Prog-II Detalle"/>
      <sheetName val="Prog-III Detalle"/>
      <sheetName val="Prog-IV Detalle"/>
      <sheetName val="Gral y X Prog."/>
      <sheetName val="Eg. X Partida"/>
      <sheetName val="Gral. de Egresos"/>
      <sheetName val="Prog. X Partida"/>
      <sheetName val="Origen y Apli"/>
      <sheetName val="Just. Ingresos"/>
      <sheetName val="JUSTIFICACION EGRESOS"/>
      <sheetName val="CUADRO Nº5"/>
      <sheetName val="Indice"/>
    </sheetNames>
    <sheetDataSet>
      <sheetData sheetId="7">
        <row r="2">
          <cell r="A2" t="str">
            <v>MUNICIPALIDAD DE SANTA ANA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I20"/>
  <sheetViews>
    <sheetView showGridLines="0" tabSelected="1" zoomScale="110" zoomScaleNormal="110" zoomScalePageLayoutView="0" workbookViewId="0" topLeftCell="A4">
      <selection activeCell="C18" sqref="C18"/>
    </sheetView>
  </sheetViews>
  <sheetFormatPr defaultColWidth="11.421875" defaultRowHeight="12.75"/>
  <cols>
    <col min="1" max="1" width="25.00390625" style="69" customWidth="1"/>
    <col min="2" max="2" width="58.7109375" style="69" customWidth="1"/>
    <col min="3" max="3" width="19.57421875" style="69" customWidth="1"/>
    <col min="4" max="4" width="10.8515625" style="69" customWidth="1"/>
    <col min="5" max="5" width="2.57421875" style="69" customWidth="1"/>
    <col min="6" max="6" width="15.8515625" style="69" customWidth="1"/>
    <col min="7" max="16384" width="11.421875" style="69" customWidth="1"/>
  </cols>
  <sheetData>
    <row r="1" spans="1:4" ht="18.75">
      <c r="A1" s="373" t="s">
        <v>17</v>
      </c>
      <c r="B1" s="373"/>
      <c r="C1" s="373"/>
      <c r="D1" s="373"/>
    </row>
    <row r="2" spans="1:4" ht="18.75">
      <c r="A2" s="373" t="s">
        <v>576</v>
      </c>
      <c r="B2" s="373"/>
      <c r="C2" s="373"/>
      <c r="D2" s="373"/>
    </row>
    <row r="3" spans="1:4" ht="18.75">
      <c r="A3" s="373" t="s">
        <v>14</v>
      </c>
      <c r="B3" s="373"/>
      <c r="C3" s="373"/>
      <c r="D3" s="373"/>
    </row>
    <row r="4" spans="1:3" ht="15" customHeight="1">
      <c r="A4" s="68"/>
      <c r="B4" s="68"/>
      <c r="C4" s="70"/>
    </row>
    <row r="5" spans="1:4" ht="15.75" customHeight="1">
      <c r="A5" s="71" t="s">
        <v>98</v>
      </c>
      <c r="B5" s="71" t="s">
        <v>15</v>
      </c>
      <c r="C5" s="72" t="s">
        <v>99</v>
      </c>
      <c r="D5" s="71" t="s">
        <v>34</v>
      </c>
    </row>
    <row r="6" spans="1:4" ht="15.75" customHeight="1">
      <c r="A6" s="307" t="s">
        <v>447</v>
      </c>
      <c r="B6" s="73" t="s">
        <v>448</v>
      </c>
      <c r="C6" s="336">
        <f>+C7</f>
        <v>14678002.08</v>
      </c>
      <c r="D6" s="75">
        <f>+D7</f>
        <v>0.016869333659212497</v>
      </c>
    </row>
    <row r="7" spans="1:4" ht="15.75" customHeight="1">
      <c r="A7" s="307" t="s">
        <v>449</v>
      </c>
      <c r="B7" s="73" t="s">
        <v>450</v>
      </c>
      <c r="C7" s="77">
        <v>14678002.08</v>
      </c>
      <c r="D7" s="75">
        <f>+C7/$C$15</f>
        <v>0.016869333659212497</v>
      </c>
    </row>
    <row r="8" spans="1:4" ht="15" customHeight="1">
      <c r="A8" s="307" t="s">
        <v>233</v>
      </c>
      <c r="B8" s="73" t="s">
        <v>40</v>
      </c>
      <c r="C8" s="74">
        <f>+C9</f>
        <v>52078236.129999995</v>
      </c>
      <c r="D8" s="75">
        <f>+C8/$C$15</f>
        <v>0.059853182801853456</v>
      </c>
    </row>
    <row r="9" spans="1:4" ht="27.75" customHeight="1">
      <c r="A9" s="307" t="s">
        <v>234</v>
      </c>
      <c r="B9" s="73" t="s">
        <v>235</v>
      </c>
      <c r="C9" s="74">
        <f>C10</f>
        <v>52078236.129999995</v>
      </c>
      <c r="D9" s="75">
        <f>+C9/$C$15</f>
        <v>0.059853182801853456</v>
      </c>
    </row>
    <row r="10" spans="1:9" ht="33" customHeight="1">
      <c r="A10" s="308" t="s">
        <v>184</v>
      </c>
      <c r="B10" s="76" t="s">
        <v>211</v>
      </c>
      <c r="C10" s="475">
        <f>17256766.13+34821470</f>
        <v>52078236.129999995</v>
      </c>
      <c r="D10" s="75">
        <f>+C10/$C$15</f>
        <v>0.059853182801853456</v>
      </c>
      <c r="F10" s="474" t="s">
        <v>588</v>
      </c>
      <c r="G10" s="474"/>
      <c r="H10" s="474"/>
      <c r="I10" s="474"/>
    </row>
    <row r="11" spans="1:4" ht="15" customHeight="1">
      <c r="A11" s="78"/>
      <c r="B11" s="79"/>
      <c r="C11" s="77"/>
      <c r="D11" s="75"/>
    </row>
    <row r="12" spans="1:4" ht="19.5" customHeight="1">
      <c r="A12" s="371" t="s">
        <v>100</v>
      </c>
      <c r="B12" s="372"/>
      <c r="C12" s="80">
        <f>+C6+C8</f>
        <v>66756238.20999999</v>
      </c>
      <c r="D12" s="75">
        <f>+C12/$C$16</f>
        <v>0.05252913298769463</v>
      </c>
    </row>
    <row r="13" spans="1:4" ht="19.5" customHeight="1">
      <c r="A13" s="73" t="s">
        <v>111</v>
      </c>
      <c r="B13" s="73" t="s">
        <v>112</v>
      </c>
      <c r="C13" s="80">
        <f>+C14+C15</f>
        <v>1204085948.08</v>
      </c>
      <c r="D13" s="75">
        <f>+C13/C16</f>
        <v>0.9474708670123053</v>
      </c>
    </row>
    <row r="14" spans="1:9" ht="24.75" customHeight="1">
      <c r="A14" s="76" t="s">
        <v>101</v>
      </c>
      <c r="B14" s="76" t="s">
        <v>281</v>
      </c>
      <c r="C14" s="74">
        <v>333986252.59</v>
      </c>
      <c r="D14" s="75">
        <f>+C14/$C$16</f>
        <v>0.26280702371473363</v>
      </c>
      <c r="F14" s="366"/>
      <c r="G14" s="366"/>
      <c r="H14" s="366"/>
      <c r="I14" s="366"/>
    </row>
    <row r="15" spans="1:9" ht="36" customHeight="1">
      <c r="A15" s="76" t="s">
        <v>102</v>
      </c>
      <c r="B15" s="76" t="s">
        <v>282</v>
      </c>
      <c r="C15" s="473">
        <f>890676529.69-20576834.2</f>
        <v>870099695.49</v>
      </c>
      <c r="D15" s="75">
        <f>+C15/$C$16</f>
        <v>0.6846638432975718</v>
      </c>
      <c r="F15" s="474" t="s">
        <v>587</v>
      </c>
      <c r="G15" s="474"/>
      <c r="H15" s="474"/>
      <c r="I15" s="474"/>
    </row>
    <row r="16" spans="1:4" ht="15">
      <c r="A16" s="369" t="s">
        <v>103</v>
      </c>
      <c r="B16" s="370"/>
      <c r="C16" s="359">
        <f>+C12+C13</f>
        <v>1270842186.29</v>
      </c>
      <c r="D16" s="81">
        <f>+C16/C16</f>
        <v>1</v>
      </c>
    </row>
    <row r="17" ht="14.25">
      <c r="C17" s="488">
        <f>+C16-'Gral y X Prog.'!K7</f>
        <v>0</v>
      </c>
    </row>
    <row r="19" spans="1:3" ht="28.5" customHeight="1">
      <c r="A19" s="69" t="s">
        <v>584</v>
      </c>
      <c r="C19" s="367" t="s">
        <v>184</v>
      </c>
    </row>
    <row r="20" spans="1:3" ht="14.25">
      <c r="A20" s="69" t="s">
        <v>585</v>
      </c>
      <c r="C20" s="368"/>
    </row>
  </sheetData>
  <sheetProtection/>
  <mergeCells count="9">
    <mergeCell ref="F14:I14"/>
    <mergeCell ref="C19:C20"/>
    <mergeCell ref="A16:B16"/>
    <mergeCell ref="A12:B12"/>
    <mergeCell ref="A1:D1"/>
    <mergeCell ref="A2:D2"/>
    <mergeCell ref="A3:D3"/>
    <mergeCell ref="F15:I15"/>
    <mergeCell ref="F10:I10"/>
  </mergeCells>
  <printOptions horizontalCentered="1"/>
  <pageMargins left="0.5" right="0.5" top="0.748031496062992" bottom="0.984251968503937" header="0" footer="0"/>
  <pageSetup horizontalDpi="600" verticalDpi="600" orientation="portrait" scale="85" r:id="rId4"/>
  <drawing r:id="rId3"/>
  <legacyDrawing r:id="rId2"/>
</worksheet>
</file>

<file path=xl/worksheets/sheet10.xml><?xml version="1.0" encoding="utf-8"?>
<worksheet xmlns="http://schemas.openxmlformats.org/spreadsheetml/2006/main" xmlns:r="http://schemas.openxmlformats.org/officeDocument/2006/relationships">
  <sheetPr>
    <tabColor indexed="50"/>
  </sheetPr>
  <dimension ref="A1:D26"/>
  <sheetViews>
    <sheetView showGridLines="0" zoomScalePageLayoutView="0" workbookViewId="0" topLeftCell="A1">
      <selection activeCell="A2" sqref="A2:D2"/>
    </sheetView>
  </sheetViews>
  <sheetFormatPr defaultColWidth="9.140625" defaultRowHeight="12.75"/>
  <cols>
    <col min="1" max="1" width="13.8515625" style="0" customWidth="1"/>
    <col min="2" max="2" width="41.421875" style="0" customWidth="1"/>
    <col min="3" max="3" width="24.421875" style="0" customWidth="1"/>
    <col min="4" max="4" width="14.421875" style="13" customWidth="1"/>
  </cols>
  <sheetData>
    <row r="1" spans="1:4" ht="19.5" customHeight="1">
      <c r="A1" s="440" t="s">
        <v>17</v>
      </c>
      <c r="B1" s="440"/>
      <c r="C1" s="440"/>
      <c r="D1" s="440"/>
    </row>
    <row r="2" spans="1:4" ht="19.5" customHeight="1">
      <c r="A2" s="441" t="str">
        <f>+'Prog-I Detalle'!A2:D2</f>
        <v>PRESUPUESTO EXTRAORDINARIO 02-2019</v>
      </c>
      <c r="B2" s="440"/>
      <c r="C2" s="440"/>
      <c r="D2" s="440"/>
    </row>
    <row r="3" spans="1:4" ht="19.5" customHeight="1">
      <c r="A3" s="440" t="s">
        <v>31</v>
      </c>
      <c r="B3" s="440"/>
      <c r="C3" s="440"/>
      <c r="D3" s="440"/>
    </row>
    <row r="4" spans="1:4" ht="19.5" customHeight="1">
      <c r="A4" s="184"/>
      <c r="B4" s="184"/>
      <c r="C4" s="184"/>
      <c r="D4" s="185"/>
    </row>
    <row r="5" spans="1:4" ht="15" customHeight="1">
      <c r="A5" s="186" t="s">
        <v>18</v>
      </c>
      <c r="B5" s="186" t="s">
        <v>32</v>
      </c>
      <c r="C5" s="186" t="s">
        <v>33</v>
      </c>
      <c r="D5" s="187" t="s">
        <v>34</v>
      </c>
    </row>
    <row r="6" spans="1:4" ht="12.75">
      <c r="A6" s="188"/>
      <c r="B6" s="189"/>
      <c r="C6" s="189"/>
      <c r="D6" s="190"/>
    </row>
    <row r="7" spans="1:4" ht="15" customHeight="1">
      <c r="A7" s="191"/>
      <c r="B7" s="192" t="s">
        <v>35</v>
      </c>
      <c r="C7" s="193">
        <f>+'Eg. X Partida'!G8</f>
        <v>1270842186.29</v>
      </c>
      <c r="D7" s="194">
        <v>1</v>
      </c>
    </row>
    <row r="8" spans="1:4" ht="12.75">
      <c r="A8" s="191"/>
      <c r="B8" s="195"/>
      <c r="C8" s="196"/>
      <c r="D8" s="197"/>
    </row>
    <row r="9" spans="1:4" ht="15" customHeight="1">
      <c r="A9" s="198">
        <v>0</v>
      </c>
      <c r="B9" s="195" t="s">
        <v>36</v>
      </c>
      <c r="C9" s="196">
        <f>+'Gral y X Prog.'!K9</f>
        <v>109538895.49</v>
      </c>
      <c r="D9" s="197">
        <f>+C9/$C$7</f>
        <v>0.08619394026395953</v>
      </c>
    </row>
    <row r="10" spans="1:4" ht="12.75">
      <c r="A10" s="198"/>
      <c r="B10" s="195"/>
      <c r="C10" s="196"/>
      <c r="D10" s="197"/>
    </row>
    <row r="11" spans="1:4" ht="15" customHeight="1">
      <c r="A11" s="198">
        <v>1</v>
      </c>
      <c r="B11" s="195" t="s">
        <v>37</v>
      </c>
      <c r="C11" s="196">
        <f>+'Gral y X Prog.'!K27</f>
        <v>103577822.62</v>
      </c>
      <c r="D11" s="197">
        <f>+C11/$C$7</f>
        <v>0.08150329264908747</v>
      </c>
    </row>
    <row r="12" spans="1:4" ht="12.75">
      <c r="A12" s="198"/>
      <c r="B12" s="195"/>
      <c r="C12" s="196"/>
      <c r="D12" s="197"/>
    </row>
    <row r="13" spans="1:4" ht="15" customHeight="1">
      <c r="A13" s="198">
        <v>2</v>
      </c>
      <c r="B13" s="195" t="s">
        <v>38</v>
      </c>
      <c r="C13" s="196">
        <f>+'Gral y X Prog.'!K43</f>
        <v>15771416.26</v>
      </c>
      <c r="D13" s="197">
        <f>+C13/$C$7</f>
        <v>0.01241020830921727</v>
      </c>
    </row>
    <row r="14" spans="1:4" ht="12.75">
      <c r="A14" s="198"/>
      <c r="B14" s="195"/>
      <c r="C14" s="196"/>
      <c r="D14" s="197"/>
    </row>
    <row r="15" spans="1:4" ht="15.75" customHeight="1">
      <c r="A15" s="198">
        <v>3</v>
      </c>
      <c r="B15" s="195" t="s">
        <v>39</v>
      </c>
      <c r="C15" s="196">
        <f>+'Gral y X Prog.'!K59</f>
        <v>0</v>
      </c>
      <c r="D15" s="197">
        <f>#N/A</f>
        <v>0</v>
      </c>
    </row>
    <row r="16" spans="1:4" ht="12.75">
      <c r="A16" s="198"/>
      <c r="B16" s="195"/>
      <c r="C16" s="196"/>
      <c r="D16" s="197"/>
    </row>
    <row r="17" spans="1:4" ht="15" customHeight="1">
      <c r="A17" s="198">
        <v>5</v>
      </c>
      <c r="B17" s="195" t="s">
        <v>23</v>
      </c>
      <c r="C17" s="196">
        <f>+'Gral y X Prog.'!K61</f>
        <v>615710036.64</v>
      </c>
      <c r="D17" s="197">
        <f>#N/A</f>
        <v>0.6135321376468204</v>
      </c>
    </row>
    <row r="18" spans="1:4" ht="12.75">
      <c r="A18" s="198"/>
      <c r="B18" s="195"/>
      <c r="C18" s="196"/>
      <c r="D18" s="197"/>
    </row>
    <row r="19" spans="1:4" ht="15" customHeight="1">
      <c r="A19" s="198">
        <v>6</v>
      </c>
      <c r="B19" s="195" t="s">
        <v>40</v>
      </c>
      <c r="C19" s="196">
        <f>+'Gral y X Prog.'!K75</f>
        <v>108680532.08999999</v>
      </c>
      <c r="D19" s="197">
        <f>#N/A</f>
        <v>0.28008401771674213</v>
      </c>
    </row>
    <row r="20" spans="1:4" ht="12.75">
      <c r="A20" s="198"/>
      <c r="B20" s="195"/>
      <c r="C20" s="196"/>
      <c r="D20" s="197"/>
    </row>
    <row r="21" spans="1:4" ht="15" customHeight="1">
      <c r="A21" s="198">
        <v>7</v>
      </c>
      <c r="B21" s="195" t="s">
        <v>41</v>
      </c>
      <c r="C21" s="196">
        <f>+'Gral y X Prog.'!K83</f>
        <v>176717343.95</v>
      </c>
      <c r="D21" s="197">
        <f>+C21/$C$7</f>
        <v>0.13905530195365576</v>
      </c>
    </row>
    <row r="22" spans="1:4" ht="13.5" customHeight="1">
      <c r="A22" s="198"/>
      <c r="B22" s="195"/>
      <c r="C22" s="196"/>
      <c r="D22" s="197"/>
    </row>
    <row r="23" spans="1:4" ht="15.75" customHeight="1">
      <c r="A23" s="198">
        <v>8</v>
      </c>
      <c r="B23" s="195" t="s">
        <v>42</v>
      </c>
      <c r="C23" s="196">
        <f>+'Gral y X Prog.'!K87</f>
        <v>0</v>
      </c>
      <c r="D23" s="197">
        <f>#N/A</f>
        <v>0</v>
      </c>
    </row>
    <row r="24" spans="1:4" ht="12.75" customHeight="1">
      <c r="A24" s="198"/>
      <c r="B24" s="195"/>
      <c r="C24" s="195"/>
      <c r="D24" s="197"/>
    </row>
    <row r="25" spans="1:4" ht="15.75" customHeight="1">
      <c r="A25" s="198">
        <v>9</v>
      </c>
      <c r="B25" s="195" t="s">
        <v>65</v>
      </c>
      <c r="C25" s="196">
        <f>+'Gral y X Prog.'!K89</f>
        <v>140846139.24</v>
      </c>
      <c r="D25" s="197">
        <f>#N/A</f>
        <v>0</v>
      </c>
    </row>
    <row r="26" spans="1:4" ht="12.75">
      <c r="A26" s="11"/>
      <c r="B26" s="8"/>
      <c r="C26" s="8"/>
      <c r="D26" s="14"/>
    </row>
  </sheetData>
  <sheetProtection/>
  <mergeCells count="3">
    <mergeCell ref="A1:D1"/>
    <mergeCell ref="A2:D2"/>
    <mergeCell ref="A3:D3"/>
  </mergeCells>
  <printOptions horizontalCentered="1"/>
  <pageMargins left="0.7874015748031497" right="0.7874015748031497" top="0.7480314960629921" bottom="0.984251968503937" header="0" footer="0"/>
  <pageSetup horizontalDpi="600" verticalDpi="600" orientation="portrait" scale="95"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G24"/>
  <sheetViews>
    <sheetView showGridLines="0" zoomScalePageLayoutView="0" workbookViewId="0" topLeftCell="A1">
      <selection activeCell="A3" sqref="A3:F3"/>
    </sheetView>
  </sheetViews>
  <sheetFormatPr defaultColWidth="11.421875" defaultRowHeight="12.75"/>
  <cols>
    <col min="1" max="1" width="14.7109375" style="0" customWidth="1"/>
    <col min="2" max="2" width="35.8515625" style="0" customWidth="1"/>
    <col min="3" max="3" width="25.421875" style="0" customWidth="1"/>
    <col min="5" max="5" width="8.140625" style="0" customWidth="1"/>
    <col min="6" max="6" width="15.28125" style="0" customWidth="1"/>
  </cols>
  <sheetData>
    <row r="1" spans="1:6" ht="15.75">
      <c r="A1" s="446" t="s">
        <v>17</v>
      </c>
      <c r="B1" s="446"/>
      <c r="C1" s="446"/>
      <c r="D1" s="446"/>
      <c r="E1" s="446"/>
      <c r="F1" s="446"/>
    </row>
    <row r="2" spans="1:6" ht="15.75">
      <c r="A2" s="446" t="s">
        <v>576</v>
      </c>
      <c r="B2" s="446"/>
      <c r="C2" s="446"/>
      <c r="D2" s="446"/>
      <c r="E2" s="446"/>
      <c r="F2" s="446"/>
    </row>
    <row r="3" spans="1:6" ht="15.75">
      <c r="A3" s="446" t="s">
        <v>152</v>
      </c>
      <c r="B3" s="446"/>
      <c r="C3" s="446"/>
      <c r="D3" s="446"/>
      <c r="E3" s="446"/>
      <c r="F3" s="446"/>
    </row>
    <row r="4" spans="1:6" ht="12.75">
      <c r="A4" s="50"/>
      <c r="B4" s="46"/>
      <c r="C4" s="46"/>
      <c r="D4" s="46"/>
      <c r="E4" s="46"/>
      <c r="F4" s="46"/>
    </row>
    <row r="5" spans="1:6" ht="12.75">
      <c r="A5" s="50"/>
      <c r="B5" s="46"/>
      <c r="C5" s="46"/>
      <c r="D5" s="46"/>
      <c r="E5" s="46"/>
      <c r="F5" s="46"/>
    </row>
    <row r="6" spans="1:7" ht="15.75">
      <c r="A6" s="447" t="s">
        <v>153</v>
      </c>
      <c r="B6" s="447"/>
      <c r="C6" s="447"/>
      <c r="D6" s="447"/>
      <c r="E6" s="447"/>
      <c r="F6" s="447"/>
      <c r="G6" s="45"/>
    </row>
    <row r="7" spans="1:7" ht="15.75">
      <c r="A7" s="448"/>
      <c r="B7" s="448"/>
      <c r="C7" s="46"/>
      <c r="D7" s="448"/>
      <c r="E7" s="448"/>
      <c r="F7" s="46"/>
      <c r="G7" s="45"/>
    </row>
    <row r="8" spans="1:7" ht="16.5" thickBot="1">
      <c r="A8" s="449"/>
      <c r="B8" s="449"/>
      <c r="C8" s="46"/>
      <c r="D8" s="449"/>
      <c r="E8" s="449"/>
      <c r="F8" s="46"/>
      <c r="G8" s="45"/>
    </row>
    <row r="9" spans="1:7" ht="15.75">
      <c r="A9" s="450" t="s">
        <v>154</v>
      </c>
      <c r="B9" s="451"/>
      <c r="C9" s="324" t="s">
        <v>58</v>
      </c>
      <c r="D9" s="450" t="s">
        <v>62</v>
      </c>
      <c r="E9" s="451"/>
      <c r="F9" s="324" t="s">
        <v>20</v>
      </c>
      <c r="G9" s="45"/>
    </row>
    <row r="10" spans="1:7" ht="51" customHeight="1">
      <c r="A10" s="411" t="s">
        <v>378</v>
      </c>
      <c r="B10" s="452"/>
      <c r="C10" s="208" t="s">
        <v>227</v>
      </c>
      <c r="D10" s="442" t="s">
        <v>377</v>
      </c>
      <c r="E10" s="443"/>
      <c r="F10" s="317">
        <v>3150000</v>
      </c>
      <c r="G10" s="45"/>
    </row>
    <row r="11" spans="1:7" ht="33" customHeight="1">
      <c r="A11" s="402" t="s">
        <v>493</v>
      </c>
      <c r="B11" s="404"/>
      <c r="C11" s="360" t="s">
        <v>227</v>
      </c>
      <c r="D11" s="444" t="s">
        <v>381</v>
      </c>
      <c r="E11" s="445"/>
      <c r="F11" s="112">
        <v>40000000</v>
      </c>
      <c r="G11" s="45"/>
    </row>
    <row r="12" spans="1:7" ht="33" customHeight="1">
      <c r="A12" s="411" t="s">
        <v>382</v>
      </c>
      <c r="B12" s="452"/>
      <c r="C12" s="208" t="s">
        <v>227</v>
      </c>
      <c r="D12" s="442" t="s">
        <v>381</v>
      </c>
      <c r="E12" s="443"/>
      <c r="F12" s="317">
        <v>10000000</v>
      </c>
      <c r="G12" s="45"/>
    </row>
    <row r="13" spans="1:7" ht="33" customHeight="1">
      <c r="A13" s="402" t="s">
        <v>503</v>
      </c>
      <c r="B13" s="404"/>
      <c r="C13" s="360" t="s">
        <v>227</v>
      </c>
      <c r="D13" s="444" t="s">
        <v>381</v>
      </c>
      <c r="E13" s="445"/>
      <c r="F13" s="112">
        <v>10163358.37</v>
      </c>
      <c r="G13" s="45"/>
    </row>
    <row r="14" spans="1:7" ht="33" customHeight="1">
      <c r="A14" s="411" t="s">
        <v>536</v>
      </c>
      <c r="B14" s="452"/>
      <c r="C14" s="208" t="s">
        <v>227</v>
      </c>
      <c r="D14" s="442" t="s">
        <v>535</v>
      </c>
      <c r="E14" s="443"/>
      <c r="F14" s="317">
        <v>8250511.38</v>
      </c>
      <c r="G14" s="45"/>
    </row>
    <row r="15" spans="1:7" ht="36" customHeight="1">
      <c r="A15" s="402" t="s">
        <v>525</v>
      </c>
      <c r="B15" s="404"/>
      <c r="C15" s="360" t="s">
        <v>227</v>
      </c>
      <c r="D15" s="444" t="s">
        <v>381</v>
      </c>
      <c r="E15" s="445"/>
      <c r="F15" s="112">
        <f>+(1926+1525)*620</f>
        <v>2139620</v>
      </c>
      <c r="G15" s="45"/>
    </row>
    <row r="16" spans="1:7" ht="32.25" customHeight="1" thickBot="1">
      <c r="A16" s="454" t="s">
        <v>155</v>
      </c>
      <c r="B16" s="455"/>
      <c r="C16" s="199"/>
      <c r="D16" s="456"/>
      <c r="E16" s="457"/>
      <c r="F16" s="200">
        <f>SUM(F10:F15)</f>
        <v>73703489.75</v>
      </c>
      <c r="G16" s="45"/>
    </row>
    <row r="17" spans="1:7" ht="15.75">
      <c r="A17" s="458"/>
      <c r="B17" s="458"/>
      <c r="C17" s="46"/>
      <c r="D17" s="458"/>
      <c r="E17" s="458"/>
      <c r="F17" s="46"/>
      <c r="G17" s="45"/>
    </row>
    <row r="18" spans="1:7" ht="15.75">
      <c r="A18" s="47"/>
      <c r="B18" s="47"/>
      <c r="C18" s="46"/>
      <c r="D18" s="47"/>
      <c r="E18" s="47"/>
      <c r="F18" s="46"/>
      <c r="G18" s="45"/>
    </row>
    <row r="19" spans="1:7" ht="15.75">
      <c r="A19" s="47"/>
      <c r="B19" s="47"/>
      <c r="C19" s="46"/>
      <c r="D19" s="47"/>
      <c r="E19" s="47"/>
      <c r="F19" s="46"/>
      <c r="G19" s="45"/>
    </row>
    <row r="20" spans="1:7" ht="15.75">
      <c r="A20" s="47"/>
      <c r="B20" s="47"/>
      <c r="C20" s="46"/>
      <c r="D20" s="47"/>
      <c r="E20" s="47"/>
      <c r="F20" s="46"/>
      <c r="G20" s="45"/>
    </row>
    <row r="21" spans="1:7" ht="15.75">
      <c r="A21" s="47"/>
      <c r="B21" s="47"/>
      <c r="C21" s="46"/>
      <c r="D21" s="47"/>
      <c r="E21" s="47"/>
      <c r="F21" s="46"/>
      <c r="G21" s="45"/>
    </row>
    <row r="22" spans="1:7" ht="15.75">
      <c r="A22" s="47"/>
      <c r="B22" s="47"/>
      <c r="C22" s="46"/>
      <c r="D22" s="47"/>
      <c r="E22" s="47"/>
      <c r="F22" s="46"/>
      <c r="G22" s="45"/>
    </row>
    <row r="23" spans="1:7" ht="15.75">
      <c r="A23" s="453" t="s">
        <v>156</v>
      </c>
      <c r="B23" s="453"/>
      <c r="C23" s="453"/>
      <c r="D23" s="453"/>
      <c r="E23" s="453"/>
      <c r="F23" s="48"/>
      <c r="G23" s="45"/>
    </row>
    <row r="24" spans="1:7" ht="12.75">
      <c r="A24" s="48" t="s">
        <v>575</v>
      </c>
      <c r="B24" s="49"/>
      <c r="C24" s="49"/>
      <c r="D24" s="49"/>
      <c r="E24" s="48"/>
      <c r="F24" s="453"/>
      <c r="G24" s="453"/>
    </row>
  </sheetData>
  <sheetProtection/>
  <mergeCells count="29">
    <mergeCell ref="A23:C23"/>
    <mergeCell ref="D23:E23"/>
    <mergeCell ref="F24:G24"/>
    <mergeCell ref="A11:B11"/>
    <mergeCell ref="D11:E11"/>
    <mergeCell ref="A16:B16"/>
    <mergeCell ref="D16:E16"/>
    <mergeCell ref="A17:B17"/>
    <mergeCell ref="D17:E17"/>
    <mergeCell ref="A15:B15"/>
    <mergeCell ref="D15:E15"/>
    <mergeCell ref="A8:B8"/>
    <mergeCell ref="D8:E8"/>
    <mergeCell ref="A9:B9"/>
    <mergeCell ref="D9:E9"/>
    <mergeCell ref="A10:B10"/>
    <mergeCell ref="D10:E10"/>
    <mergeCell ref="A12:B12"/>
    <mergeCell ref="A13:B13"/>
    <mergeCell ref="A14:B14"/>
    <mergeCell ref="D12:E12"/>
    <mergeCell ref="D13:E13"/>
    <mergeCell ref="D14:E14"/>
    <mergeCell ref="A1:F1"/>
    <mergeCell ref="A2:F2"/>
    <mergeCell ref="A3:F3"/>
    <mergeCell ref="A6:F6"/>
    <mergeCell ref="A7:B7"/>
    <mergeCell ref="D7:E7"/>
  </mergeCells>
  <printOptions horizontalCentered="1"/>
  <pageMargins left="0.5118110236220472" right="0.5118110236220472" top="0.7480314960629921" bottom="0.7480314960629921" header="0.31496062992125984" footer="0.31496062992125984"/>
  <pageSetup horizontalDpi="600" verticalDpi="600" orientation="portrait" scale="85"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N26"/>
  <sheetViews>
    <sheetView showGridLines="0" zoomScalePageLayoutView="0" workbookViewId="0" topLeftCell="A11">
      <selection activeCell="A3" sqref="A3:F3"/>
    </sheetView>
  </sheetViews>
  <sheetFormatPr defaultColWidth="11.421875" defaultRowHeight="12.75"/>
  <cols>
    <col min="1" max="1" width="11.00390625" style="203" customWidth="1"/>
    <col min="2" max="2" width="46.8515625" style="83" customWidth="1"/>
    <col min="3" max="3" width="14.00390625" style="83" customWidth="1"/>
    <col min="4" max="4" width="17.8515625" style="83" customWidth="1"/>
    <col min="5" max="5" width="18.7109375" style="83" customWidth="1"/>
    <col min="6" max="6" width="25.140625" style="83" customWidth="1"/>
    <col min="7" max="16384" width="11.421875" style="83" customWidth="1"/>
  </cols>
  <sheetData>
    <row r="1" spans="1:6" ht="19.5" customHeight="1">
      <c r="A1" s="460" t="s">
        <v>17</v>
      </c>
      <c r="B1" s="460"/>
      <c r="C1" s="460"/>
      <c r="D1" s="460"/>
      <c r="E1" s="460"/>
      <c r="F1" s="460"/>
    </row>
    <row r="2" spans="1:14" ht="19.5" customHeight="1">
      <c r="A2" s="436" t="s">
        <v>576</v>
      </c>
      <c r="B2" s="436"/>
      <c r="C2" s="436"/>
      <c r="D2" s="436"/>
      <c r="E2" s="436"/>
      <c r="F2" s="436"/>
      <c r="G2" s="202"/>
      <c r="H2" s="202"/>
      <c r="I2" s="202"/>
      <c r="J2" s="202"/>
      <c r="K2" s="202"/>
      <c r="L2" s="202"/>
      <c r="M2" s="202"/>
      <c r="N2" s="202"/>
    </row>
    <row r="3" spans="1:6" ht="19.5" customHeight="1">
      <c r="A3" s="460" t="s">
        <v>53</v>
      </c>
      <c r="B3" s="460"/>
      <c r="C3" s="460"/>
      <c r="D3" s="460"/>
      <c r="E3" s="460"/>
      <c r="F3" s="460"/>
    </row>
    <row r="4" spans="1:6" ht="27" customHeight="1">
      <c r="A4" s="460" t="s">
        <v>54</v>
      </c>
      <c r="B4" s="460"/>
      <c r="C4" s="460"/>
      <c r="D4" s="460"/>
      <c r="E4" s="460"/>
      <c r="F4" s="460"/>
    </row>
    <row r="5" ht="15"/>
    <row r="6" spans="1:6" ht="60">
      <c r="A6" s="291" t="s">
        <v>55</v>
      </c>
      <c r="B6" s="292" t="s">
        <v>56</v>
      </c>
      <c r="C6" s="291" t="s">
        <v>57</v>
      </c>
      <c r="D6" s="291" t="s">
        <v>58</v>
      </c>
      <c r="E6" s="293" t="s">
        <v>20</v>
      </c>
      <c r="F6" s="293" t="s">
        <v>59</v>
      </c>
    </row>
    <row r="7" spans="1:6" ht="12.75">
      <c r="A7" s="294">
        <v>6</v>
      </c>
      <c r="B7" s="295" t="s">
        <v>40</v>
      </c>
      <c r="C7" s="295"/>
      <c r="D7" s="295"/>
      <c r="E7" s="296">
        <f>+E9</f>
        <v>4000000</v>
      </c>
      <c r="F7" s="297"/>
    </row>
    <row r="8" spans="1:6" ht="25.5">
      <c r="A8" s="298">
        <v>6.01</v>
      </c>
      <c r="B8" s="208" t="s">
        <v>208</v>
      </c>
      <c r="C8" s="208"/>
      <c r="D8" s="208"/>
      <c r="E8" s="209"/>
      <c r="F8" s="209"/>
    </row>
    <row r="9" spans="1:6" ht="25.5">
      <c r="A9" s="361"/>
      <c r="B9" s="360" t="s">
        <v>226</v>
      </c>
      <c r="C9" s="360"/>
      <c r="D9" s="360" t="s">
        <v>227</v>
      </c>
      <c r="E9" s="253">
        <v>4000000</v>
      </c>
      <c r="F9" s="362" t="s">
        <v>558</v>
      </c>
    </row>
    <row r="10" spans="1:6" ht="21" customHeight="1">
      <c r="A10" s="294">
        <v>7</v>
      </c>
      <c r="B10" s="299" t="s">
        <v>41</v>
      </c>
      <c r="C10" s="300"/>
      <c r="D10" s="300"/>
      <c r="E10" s="301">
        <f>+SUM(E11:E20)</f>
        <v>176717343.95</v>
      </c>
      <c r="F10" s="301"/>
    </row>
    <row r="11" spans="1:6" ht="25.5">
      <c r="A11" s="302"/>
      <c r="B11" s="364" t="s">
        <v>561</v>
      </c>
      <c r="C11" s="360"/>
      <c r="D11" s="360" t="s">
        <v>227</v>
      </c>
      <c r="E11" s="112">
        <v>40000000</v>
      </c>
      <c r="F11" s="363" t="s">
        <v>559</v>
      </c>
    </row>
    <row r="12" spans="1:6" ht="30" customHeight="1">
      <c r="A12" s="302"/>
      <c r="B12" s="364" t="s">
        <v>562</v>
      </c>
      <c r="C12" s="360"/>
      <c r="D12" s="360" t="s">
        <v>227</v>
      </c>
      <c r="E12" s="112">
        <v>10000000</v>
      </c>
      <c r="F12" s="363" t="s">
        <v>560</v>
      </c>
    </row>
    <row r="13" spans="1:6" ht="37.5" customHeight="1">
      <c r="A13" s="302"/>
      <c r="B13" s="364" t="s">
        <v>563</v>
      </c>
      <c r="C13" s="360"/>
      <c r="D13" s="360" t="s">
        <v>227</v>
      </c>
      <c r="E13" s="112">
        <v>10163358.37</v>
      </c>
      <c r="F13" s="364" t="s">
        <v>503</v>
      </c>
    </row>
    <row r="14" spans="1:6" ht="29.25" customHeight="1">
      <c r="A14" s="302"/>
      <c r="B14" s="364" t="s">
        <v>564</v>
      </c>
      <c r="C14" s="360"/>
      <c r="D14" s="360" t="s">
        <v>227</v>
      </c>
      <c r="E14" s="112">
        <v>8250511.38</v>
      </c>
      <c r="F14" s="364" t="s">
        <v>536</v>
      </c>
    </row>
    <row r="15" spans="1:6" ht="63" customHeight="1">
      <c r="A15" s="302"/>
      <c r="B15" s="364" t="s">
        <v>565</v>
      </c>
      <c r="C15" s="360"/>
      <c r="D15" s="360" t="s">
        <v>227</v>
      </c>
      <c r="E15" s="112">
        <f>+(1926+1525)*620</f>
        <v>2139620</v>
      </c>
      <c r="F15" s="364" t="s">
        <v>525</v>
      </c>
    </row>
    <row r="16" spans="1:6" ht="28.5" customHeight="1">
      <c r="A16" s="302"/>
      <c r="B16" s="365" t="s">
        <v>566</v>
      </c>
      <c r="C16" s="128"/>
      <c r="D16" s="360" t="s">
        <v>227</v>
      </c>
      <c r="E16" s="128">
        <v>48115254.2</v>
      </c>
      <c r="F16" s="365" t="s">
        <v>347</v>
      </c>
    </row>
    <row r="17" spans="1:6" ht="28.5" customHeight="1">
      <c r="A17" s="302"/>
      <c r="B17" s="365" t="s">
        <v>567</v>
      </c>
      <c r="C17" s="128"/>
      <c r="D17" s="360" t="s">
        <v>227</v>
      </c>
      <c r="E17" s="243">
        <v>22000000</v>
      </c>
      <c r="F17" s="365" t="s">
        <v>498</v>
      </c>
    </row>
    <row r="18" spans="1:6" ht="57">
      <c r="A18" s="302"/>
      <c r="B18" s="365" t="s">
        <v>573</v>
      </c>
      <c r="C18" s="140"/>
      <c r="D18" s="360" t="s">
        <v>227</v>
      </c>
      <c r="E18" s="243">
        <v>3720000</v>
      </c>
      <c r="F18" s="365" t="s">
        <v>500</v>
      </c>
    </row>
    <row r="19" spans="1:6" ht="28.5">
      <c r="A19" s="302"/>
      <c r="B19" s="365" t="s">
        <v>568</v>
      </c>
      <c r="C19" s="140"/>
      <c r="D19" s="360" t="s">
        <v>227</v>
      </c>
      <c r="E19" s="128">
        <v>17328600</v>
      </c>
      <c r="F19" s="365" t="s">
        <v>373</v>
      </c>
    </row>
    <row r="20" spans="1:6" ht="28.5">
      <c r="A20" s="302"/>
      <c r="B20" s="364" t="s">
        <v>564</v>
      </c>
      <c r="C20" s="128"/>
      <c r="D20" s="360" t="s">
        <v>227</v>
      </c>
      <c r="E20" s="243">
        <v>15000000</v>
      </c>
      <c r="F20" s="365" t="s">
        <v>355</v>
      </c>
    </row>
    <row r="21" spans="1:6" s="206" customFormat="1" ht="18.75" customHeight="1">
      <c r="A21" s="303"/>
      <c r="B21" s="304" t="s">
        <v>35</v>
      </c>
      <c r="C21" s="305"/>
      <c r="D21" s="305"/>
      <c r="E21" s="306">
        <f>+E7+E10</f>
        <v>180717343.95</v>
      </c>
      <c r="F21" s="306"/>
    </row>
    <row r="23" ht="18" customHeight="1"/>
    <row r="24" spans="1:3" s="207" customFormat="1" ht="24.75" customHeight="1">
      <c r="A24" s="459" t="s">
        <v>60</v>
      </c>
      <c r="B24" s="459"/>
      <c r="C24" s="459"/>
    </row>
    <row r="25" spans="1:2" s="207" customFormat="1" ht="22.5" customHeight="1">
      <c r="A25" s="459" t="s">
        <v>574</v>
      </c>
      <c r="B25" s="459"/>
    </row>
    <row r="26" s="207" customFormat="1" ht="12.75">
      <c r="A26" s="201"/>
    </row>
    <row r="27" ht="11.25" customHeight="1"/>
  </sheetData>
  <sheetProtection/>
  <mergeCells count="6">
    <mergeCell ref="A25:B25"/>
    <mergeCell ref="A2:F2"/>
    <mergeCell ref="A1:F1"/>
    <mergeCell ref="A3:F3"/>
    <mergeCell ref="A4:F4"/>
    <mergeCell ref="A24:C24"/>
  </mergeCells>
  <printOptions horizontalCentered="1"/>
  <pageMargins left="0.5905511811023623" right="0.5905511811023623" top="0.7874015748031497" bottom="0.7874015748031497" header="0" footer="0"/>
  <pageSetup horizontalDpi="600" verticalDpi="600" orientation="portrait" scale="70" r:id="rId4"/>
  <drawing r:id="rId3"/>
  <legacyDrawing r:id="rId2"/>
</worksheet>
</file>

<file path=xl/worksheets/sheet13.xml><?xml version="1.0" encoding="utf-8"?>
<worksheet xmlns="http://schemas.openxmlformats.org/spreadsheetml/2006/main" xmlns:r="http://schemas.openxmlformats.org/officeDocument/2006/relationships">
  <sheetPr>
    <tabColor indexed="12"/>
  </sheetPr>
  <dimension ref="A1:K88"/>
  <sheetViews>
    <sheetView showGridLines="0" zoomScalePageLayoutView="0" workbookViewId="0" topLeftCell="A67">
      <selection activeCell="J76" sqref="J76:J77"/>
    </sheetView>
  </sheetViews>
  <sheetFormatPr defaultColWidth="11.421875" defaultRowHeight="12.75"/>
  <cols>
    <col min="1" max="1" width="23.57421875" style="83" customWidth="1"/>
    <col min="2" max="2" width="30.28125" style="83" customWidth="1"/>
    <col min="3" max="3" width="19.8515625" style="83" customWidth="1"/>
    <col min="4" max="4" width="9.8515625" style="83" customWidth="1"/>
    <col min="5" max="5" width="9.7109375" style="83" customWidth="1"/>
    <col min="6" max="6" width="9.57421875" style="83" customWidth="1"/>
    <col min="7" max="7" width="32.140625" style="83" customWidth="1"/>
    <col min="8" max="8" width="20.8515625" style="83" customWidth="1"/>
    <col min="9" max="9" width="23.8515625" style="167" customWidth="1"/>
    <col min="10" max="10" width="18.140625" style="83" bestFit="1" customWidth="1"/>
    <col min="11" max="11" width="12.7109375" style="83" bestFit="1" customWidth="1"/>
    <col min="12" max="16384" width="11.421875" style="83" customWidth="1"/>
  </cols>
  <sheetData>
    <row r="1" spans="1:8" ht="15">
      <c r="A1" s="461" t="str">
        <f>+'[1]Gral. de Egresos'!A2</f>
        <v>MUNICIPALIDAD DE SANTA ANA</v>
      </c>
      <c r="B1" s="461"/>
      <c r="C1" s="461"/>
      <c r="D1" s="461"/>
      <c r="E1" s="461"/>
      <c r="F1" s="461"/>
      <c r="G1" s="461"/>
      <c r="H1" s="461"/>
    </row>
    <row r="2" spans="1:8" ht="15">
      <c r="A2" s="461" t="s">
        <v>576</v>
      </c>
      <c r="B2" s="461"/>
      <c r="C2" s="461"/>
      <c r="D2" s="461"/>
      <c r="E2" s="461"/>
      <c r="F2" s="461"/>
      <c r="G2" s="461"/>
      <c r="H2" s="461"/>
    </row>
    <row r="3" spans="1:8" ht="15">
      <c r="A3" s="461" t="s">
        <v>70</v>
      </c>
      <c r="B3" s="461"/>
      <c r="C3" s="461"/>
      <c r="D3" s="461"/>
      <c r="E3" s="461"/>
      <c r="F3" s="461"/>
      <c r="G3" s="461"/>
      <c r="H3" s="461"/>
    </row>
    <row r="4" spans="1:8" ht="15">
      <c r="A4" s="461" t="s">
        <v>71</v>
      </c>
      <c r="B4" s="461"/>
      <c r="C4" s="461"/>
      <c r="D4" s="461"/>
      <c r="E4" s="461"/>
      <c r="F4" s="461"/>
      <c r="G4" s="461"/>
      <c r="H4" s="461"/>
    </row>
    <row r="5" spans="1:8" ht="13.5" thickBot="1">
      <c r="A5" s="142"/>
      <c r="B5" s="142"/>
      <c r="C5" s="210"/>
      <c r="D5" s="211"/>
      <c r="E5" s="212"/>
      <c r="F5" s="211"/>
      <c r="G5" s="142"/>
      <c r="H5" s="210"/>
    </row>
    <row r="6" spans="1:8" ht="12.75">
      <c r="A6" s="462" t="s">
        <v>73</v>
      </c>
      <c r="B6" s="462" t="s">
        <v>72</v>
      </c>
      <c r="C6" s="462" t="s">
        <v>20</v>
      </c>
      <c r="D6" s="464" t="s">
        <v>75</v>
      </c>
      <c r="E6" s="464" t="s">
        <v>76</v>
      </c>
      <c r="F6" s="464" t="s">
        <v>77</v>
      </c>
      <c r="G6" s="462" t="s">
        <v>74</v>
      </c>
      <c r="H6" s="467" t="s">
        <v>20</v>
      </c>
    </row>
    <row r="7" spans="1:8" ht="30.75" customHeight="1">
      <c r="A7" s="463"/>
      <c r="B7" s="463"/>
      <c r="C7" s="463"/>
      <c r="D7" s="465"/>
      <c r="E7" s="465"/>
      <c r="F7" s="465"/>
      <c r="G7" s="463"/>
      <c r="H7" s="468"/>
    </row>
    <row r="8" spans="1:9" ht="31.5" customHeight="1">
      <c r="A8" s="213" t="str">
        <f>+Ingresos!A6</f>
        <v>1,3,9,0,00,00,0,0,000</v>
      </c>
      <c r="B8" s="337" t="str">
        <f>+Ingresos!B6</f>
        <v>OTROS INGRESOS NO TRIBUTARIOS</v>
      </c>
      <c r="C8" s="325">
        <f>+Ingresos!C7</f>
        <v>14678002.08</v>
      </c>
      <c r="D8" s="223" t="s">
        <v>108</v>
      </c>
      <c r="E8" s="215" t="s">
        <v>280</v>
      </c>
      <c r="F8" s="215"/>
      <c r="G8" s="271" t="s">
        <v>451</v>
      </c>
      <c r="H8" s="219">
        <f>+C8</f>
        <v>14678002.08</v>
      </c>
      <c r="I8" s="229"/>
    </row>
    <row r="9" spans="1:8" ht="31.5" customHeight="1">
      <c r="A9" s="213"/>
      <c r="B9" s="217"/>
      <c r="C9" s="325"/>
      <c r="D9" s="223"/>
      <c r="E9" s="215"/>
      <c r="F9" s="215"/>
      <c r="G9" s="271"/>
      <c r="H9" s="219"/>
    </row>
    <row r="10" spans="1:8" ht="31.5" customHeight="1">
      <c r="A10" s="213" t="s">
        <v>184</v>
      </c>
      <c r="B10" s="217" t="s">
        <v>211</v>
      </c>
      <c r="C10" s="325">
        <f>+Ingresos!C10</f>
        <v>52078236.129999995</v>
      </c>
      <c r="D10" s="223" t="s">
        <v>108</v>
      </c>
      <c r="E10" s="215" t="s">
        <v>168</v>
      </c>
      <c r="F10" s="215"/>
      <c r="G10" s="271" t="s">
        <v>203</v>
      </c>
      <c r="H10" s="219">
        <v>34821470</v>
      </c>
    </row>
    <row r="11" spans="1:8" ht="15" customHeight="1">
      <c r="A11" s="213"/>
      <c r="B11" s="218"/>
      <c r="C11" s="219"/>
      <c r="D11" s="223" t="s">
        <v>108</v>
      </c>
      <c r="E11" s="215" t="s">
        <v>219</v>
      </c>
      <c r="F11" s="215"/>
      <c r="G11" s="271" t="s">
        <v>236</v>
      </c>
      <c r="H11" s="219">
        <v>17256766.13</v>
      </c>
    </row>
    <row r="12" spans="1:8" ht="15" customHeight="1">
      <c r="A12" s="213"/>
      <c r="B12" s="218"/>
      <c r="C12" s="219"/>
      <c r="D12" s="309"/>
      <c r="E12" s="310"/>
      <c r="F12" s="310"/>
      <c r="G12" s="311"/>
      <c r="H12" s="312">
        <f>SUM(H10:H11)</f>
        <v>52078236.129999995</v>
      </c>
    </row>
    <row r="13" spans="1:8" ht="15" customHeight="1">
      <c r="A13" s="213"/>
      <c r="B13" s="218"/>
      <c r="C13" s="219"/>
      <c r="D13" s="223"/>
      <c r="E13" s="215"/>
      <c r="F13" s="215"/>
      <c r="G13" s="271"/>
      <c r="H13" s="219"/>
    </row>
    <row r="14" spans="1:9" ht="28.5" customHeight="1">
      <c r="A14" s="213" t="s">
        <v>101</v>
      </c>
      <c r="B14" s="217" t="s">
        <v>281</v>
      </c>
      <c r="C14" s="225">
        <f>+Ingresos!C14</f>
        <v>333986252.59</v>
      </c>
      <c r="D14" s="223" t="s">
        <v>48</v>
      </c>
      <c r="E14" s="215" t="s">
        <v>115</v>
      </c>
      <c r="F14" s="215"/>
      <c r="G14" s="271" t="s">
        <v>336</v>
      </c>
      <c r="H14" s="283">
        <v>129720775.51</v>
      </c>
      <c r="I14" s="226"/>
    </row>
    <row r="15" spans="1:9" ht="28.5" customHeight="1">
      <c r="A15" s="213"/>
      <c r="B15" s="217"/>
      <c r="C15" s="225"/>
      <c r="D15" s="223" t="s">
        <v>48</v>
      </c>
      <c r="E15" s="215" t="s">
        <v>191</v>
      </c>
      <c r="F15" s="215"/>
      <c r="G15" s="271" t="s">
        <v>435</v>
      </c>
      <c r="H15" s="283">
        <v>20000000</v>
      </c>
      <c r="I15" s="226"/>
    </row>
    <row r="16" spans="1:9" ht="28.5" customHeight="1">
      <c r="A16" s="213"/>
      <c r="B16" s="217"/>
      <c r="C16" s="225"/>
      <c r="D16" s="223" t="s">
        <v>108</v>
      </c>
      <c r="E16" s="215" t="s">
        <v>168</v>
      </c>
      <c r="F16" s="215"/>
      <c r="G16" s="271" t="s">
        <v>205</v>
      </c>
      <c r="H16" s="283">
        <v>15000000</v>
      </c>
      <c r="I16" s="226"/>
    </row>
    <row r="17" spans="1:9" ht="35.25" customHeight="1">
      <c r="A17" s="213"/>
      <c r="B17" s="217"/>
      <c r="C17" s="225"/>
      <c r="D17" s="223" t="s">
        <v>108</v>
      </c>
      <c r="E17" s="215" t="s">
        <v>109</v>
      </c>
      <c r="F17" s="215"/>
      <c r="G17" s="271" t="s">
        <v>404</v>
      </c>
      <c r="H17" s="283">
        <v>4000000</v>
      </c>
      <c r="I17" s="226"/>
    </row>
    <row r="18" spans="1:9" ht="35.25" customHeight="1">
      <c r="A18" s="213"/>
      <c r="B18" s="217"/>
      <c r="C18" s="225"/>
      <c r="D18" s="223" t="s">
        <v>108</v>
      </c>
      <c r="E18" s="215" t="s">
        <v>556</v>
      </c>
      <c r="F18" s="215"/>
      <c r="G18" s="271" t="s">
        <v>557</v>
      </c>
      <c r="H18" s="283">
        <v>10400000</v>
      </c>
      <c r="I18" s="226"/>
    </row>
    <row r="19" spans="1:9" ht="40.5" customHeight="1">
      <c r="A19" s="213"/>
      <c r="B19" s="217"/>
      <c r="C19" s="225"/>
      <c r="D19" s="223" t="s">
        <v>108</v>
      </c>
      <c r="E19" s="215" t="s">
        <v>405</v>
      </c>
      <c r="F19" s="215"/>
      <c r="G19" s="271" t="s">
        <v>406</v>
      </c>
      <c r="H19" s="283">
        <v>73703489.75</v>
      </c>
      <c r="I19" s="226"/>
    </row>
    <row r="20" spans="1:8" ht="30.75" customHeight="1">
      <c r="A20" s="213"/>
      <c r="B20" s="217"/>
      <c r="C20" s="225"/>
      <c r="D20" s="223" t="s">
        <v>139</v>
      </c>
      <c r="E20" s="215" t="s">
        <v>115</v>
      </c>
      <c r="F20" s="205"/>
      <c r="G20" s="271" t="s">
        <v>289</v>
      </c>
      <c r="H20" s="283">
        <v>24397653.5</v>
      </c>
    </row>
    <row r="21" spans="1:8" ht="45" customHeight="1">
      <c r="A21" s="213"/>
      <c r="B21" s="217"/>
      <c r="C21" s="225"/>
      <c r="D21" s="223" t="s">
        <v>139</v>
      </c>
      <c r="E21" s="215" t="s">
        <v>115</v>
      </c>
      <c r="F21" s="205"/>
      <c r="G21" s="271" t="s">
        <v>294</v>
      </c>
      <c r="H21" s="283">
        <v>19125000</v>
      </c>
    </row>
    <row r="22" spans="1:8" ht="40.5" customHeight="1">
      <c r="A22" s="213"/>
      <c r="B22" s="217"/>
      <c r="C22" s="225"/>
      <c r="D22" s="223" t="s">
        <v>139</v>
      </c>
      <c r="E22" s="215" t="s">
        <v>115</v>
      </c>
      <c r="F22" s="205"/>
      <c r="G22" s="271" t="s">
        <v>296</v>
      </c>
      <c r="H22" s="283">
        <v>11710155.2</v>
      </c>
    </row>
    <row r="23" spans="1:9" ht="40.5" customHeight="1">
      <c r="A23" s="213"/>
      <c r="B23" s="217"/>
      <c r="C23" s="225"/>
      <c r="D23" s="223" t="s">
        <v>139</v>
      </c>
      <c r="E23" s="215" t="s">
        <v>115</v>
      </c>
      <c r="F23" s="205"/>
      <c r="G23" s="271" t="s">
        <v>474</v>
      </c>
      <c r="H23" s="283">
        <v>17829178.63</v>
      </c>
      <c r="I23" s="229"/>
    </row>
    <row r="24" spans="1:8" ht="40.5" customHeight="1">
      <c r="A24" s="213"/>
      <c r="B24" s="217"/>
      <c r="C24" s="225"/>
      <c r="D24" s="223" t="s">
        <v>139</v>
      </c>
      <c r="E24" s="215" t="s">
        <v>115</v>
      </c>
      <c r="F24" s="205"/>
      <c r="G24" s="286" t="s">
        <v>303</v>
      </c>
      <c r="H24" s="238">
        <v>8100000</v>
      </c>
    </row>
    <row r="25" spans="1:11" ht="15" customHeight="1">
      <c r="A25" s="213"/>
      <c r="B25" s="217"/>
      <c r="C25" s="225"/>
      <c r="D25" s="220"/>
      <c r="E25" s="221"/>
      <c r="F25" s="221"/>
      <c r="G25" s="282"/>
      <c r="H25" s="204">
        <f>SUM(H14:H24)</f>
        <v>333986252.59</v>
      </c>
      <c r="I25" s="229">
        <f>+C14-H25</f>
        <v>0</v>
      </c>
      <c r="J25" s="224"/>
      <c r="K25" s="224"/>
    </row>
    <row r="26" spans="1:10" ht="30.75" customHeight="1">
      <c r="A26" s="213" t="s">
        <v>102</v>
      </c>
      <c r="B26" s="264" t="s">
        <v>282</v>
      </c>
      <c r="C26" s="230">
        <f>+SUM(C27:C75)</f>
        <v>870099695.49</v>
      </c>
      <c r="D26" s="270"/>
      <c r="E26" s="215"/>
      <c r="F26" s="215"/>
      <c r="G26" s="271"/>
      <c r="H26" s="219"/>
      <c r="J26" s="224"/>
    </row>
    <row r="27" spans="1:10" ht="48.75" customHeight="1">
      <c r="A27" s="213"/>
      <c r="B27" s="338" t="s">
        <v>141</v>
      </c>
      <c r="C27" s="313">
        <v>16252106.66</v>
      </c>
      <c r="D27" s="284" t="s">
        <v>48</v>
      </c>
      <c r="E27" s="285" t="s">
        <v>110</v>
      </c>
      <c r="F27" s="285"/>
      <c r="G27" s="286" t="s">
        <v>145</v>
      </c>
      <c r="H27" s="234">
        <f>+C27</f>
        <v>16252106.66</v>
      </c>
      <c r="I27" s="229"/>
      <c r="J27" s="224"/>
    </row>
    <row r="28" spans="1:9" ht="20.25" customHeight="1">
      <c r="A28" s="213"/>
      <c r="B28" s="338" t="s">
        <v>224</v>
      </c>
      <c r="C28" s="313">
        <v>54619283.99</v>
      </c>
      <c r="D28" s="284" t="s">
        <v>139</v>
      </c>
      <c r="E28" s="285" t="s">
        <v>342</v>
      </c>
      <c r="F28" s="285"/>
      <c r="G28" s="286" t="s">
        <v>224</v>
      </c>
      <c r="H28" s="238">
        <f>+C28</f>
        <v>54619283.99</v>
      </c>
      <c r="I28" s="226"/>
    </row>
    <row r="29" spans="1:9" ht="36" customHeight="1">
      <c r="A29" s="213"/>
      <c r="B29" s="338" t="s">
        <v>425</v>
      </c>
      <c r="C29" s="313">
        <v>3740084.77</v>
      </c>
      <c r="D29" s="284" t="s">
        <v>139</v>
      </c>
      <c r="E29" s="285" t="s">
        <v>191</v>
      </c>
      <c r="F29" s="285"/>
      <c r="G29" s="286" t="s">
        <v>218</v>
      </c>
      <c r="H29" s="238">
        <f>+C29</f>
        <v>3740084.77</v>
      </c>
      <c r="I29" s="226"/>
    </row>
    <row r="30" spans="1:9" ht="21" customHeight="1">
      <c r="A30" s="213"/>
      <c r="B30" s="227"/>
      <c r="C30" s="238"/>
      <c r="D30" s="284"/>
      <c r="E30" s="285"/>
      <c r="F30" s="285"/>
      <c r="G30" s="286"/>
      <c r="H30" s="238"/>
      <c r="I30" s="226"/>
    </row>
    <row r="31" spans="1:9" ht="40.5" customHeight="1">
      <c r="A31" s="213"/>
      <c r="B31" s="267" t="s">
        <v>165</v>
      </c>
      <c r="C31" s="243">
        <v>485454465.92</v>
      </c>
      <c r="D31" s="284" t="s">
        <v>139</v>
      </c>
      <c r="E31" s="285" t="s">
        <v>180</v>
      </c>
      <c r="F31" s="285"/>
      <c r="G31" s="286" t="s">
        <v>300</v>
      </c>
      <c r="H31" s="238">
        <v>27129005.58</v>
      </c>
      <c r="I31" s="226"/>
    </row>
    <row r="32" spans="1:9" ht="33" customHeight="1">
      <c r="A32" s="213"/>
      <c r="B32" s="265"/>
      <c r="C32" s="234"/>
      <c r="D32" s="284" t="s">
        <v>139</v>
      </c>
      <c r="E32" s="285" t="s">
        <v>179</v>
      </c>
      <c r="F32" s="285"/>
      <c r="G32" s="286" t="s">
        <v>291</v>
      </c>
      <c r="H32" s="238">
        <v>16072646.55</v>
      </c>
      <c r="I32" s="226"/>
    </row>
    <row r="33" spans="1:9" ht="29.25" customHeight="1">
      <c r="A33" s="213"/>
      <c r="B33" s="265"/>
      <c r="C33" s="234"/>
      <c r="D33" s="284" t="s">
        <v>139</v>
      </c>
      <c r="E33" s="285" t="s">
        <v>179</v>
      </c>
      <c r="F33" s="285"/>
      <c r="G33" s="286" t="s">
        <v>372</v>
      </c>
      <c r="H33" s="238">
        <v>20000000</v>
      </c>
      <c r="I33" s="226"/>
    </row>
    <row r="34" spans="1:9" ht="30.75" customHeight="1">
      <c r="A34" s="213"/>
      <c r="B34" s="265"/>
      <c r="C34" s="234"/>
      <c r="D34" s="284" t="s">
        <v>139</v>
      </c>
      <c r="E34" s="285" t="s">
        <v>342</v>
      </c>
      <c r="F34" s="285"/>
      <c r="G34" s="286" t="s">
        <v>304</v>
      </c>
      <c r="H34" s="238">
        <v>28174264.6</v>
      </c>
      <c r="I34" s="226"/>
    </row>
    <row r="35" spans="1:9" ht="30" customHeight="1">
      <c r="A35" s="233"/>
      <c r="B35" s="265"/>
      <c r="C35" s="234"/>
      <c r="D35" s="284" t="s">
        <v>139</v>
      </c>
      <c r="E35" s="285" t="s">
        <v>342</v>
      </c>
      <c r="F35" s="236"/>
      <c r="G35" s="286" t="s">
        <v>396</v>
      </c>
      <c r="H35" s="238">
        <v>45000000</v>
      </c>
      <c r="I35" s="226"/>
    </row>
    <row r="36" spans="1:9" ht="44.25" customHeight="1">
      <c r="A36" s="233"/>
      <c r="B36" s="265"/>
      <c r="C36" s="318"/>
      <c r="D36" s="223" t="s">
        <v>139</v>
      </c>
      <c r="E36" s="215" t="s">
        <v>115</v>
      </c>
      <c r="F36" s="205"/>
      <c r="G36" s="286" t="s">
        <v>358</v>
      </c>
      <c r="H36" s="238">
        <v>1683000</v>
      </c>
      <c r="I36" s="226"/>
    </row>
    <row r="37" spans="1:9" ht="33" customHeight="1">
      <c r="A37" s="233"/>
      <c r="B37" s="265"/>
      <c r="C37" s="318"/>
      <c r="D37" s="223" t="s">
        <v>139</v>
      </c>
      <c r="E37" s="215" t="s">
        <v>115</v>
      </c>
      <c r="F37" s="205"/>
      <c r="G37" s="286" t="s">
        <v>375</v>
      </c>
      <c r="H37" s="238">
        <v>2100000</v>
      </c>
      <c r="I37" s="226"/>
    </row>
    <row r="38" spans="1:9" ht="30" customHeight="1">
      <c r="A38" s="233"/>
      <c r="B38" s="331"/>
      <c r="C38" s="330"/>
      <c r="D38" s="223" t="s">
        <v>139</v>
      </c>
      <c r="E38" s="215" t="s">
        <v>115</v>
      </c>
      <c r="F38" s="205"/>
      <c r="G38" s="286" t="s">
        <v>373</v>
      </c>
      <c r="H38" s="238">
        <v>17328600</v>
      </c>
      <c r="I38" s="226"/>
    </row>
    <row r="39" spans="1:9" ht="43.5" customHeight="1">
      <c r="A39" s="233"/>
      <c r="B39" s="331"/>
      <c r="C39" s="330"/>
      <c r="D39" s="223" t="s">
        <v>139</v>
      </c>
      <c r="E39" s="215" t="s">
        <v>115</v>
      </c>
      <c r="F39" s="205"/>
      <c r="G39" s="286" t="s">
        <v>347</v>
      </c>
      <c r="H39" s="238">
        <v>48115254.2</v>
      </c>
      <c r="I39" s="226"/>
    </row>
    <row r="40" spans="1:9" ht="33" customHeight="1">
      <c r="A40" s="233"/>
      <c r="B40" s="331"/>
      <c r="C40" s="330"/>
      <c r="D40" s="223" t="s">
        <v>139</v>
      </c>
      <c r="E40" s="215" t="s">
        <v>115</v>
      </c>
      <c r="F40" s="205"/>
      <c r="G40" s="286" t="s">
        <v>355</v>
      </c>
      <c r="H40" s="238">
        <v>15000000</v>
      </c>
      <c r="I40" s="226"/>
    </row>
    <row r="41" spans="1:9" ht="22.5" customHeight="1">
      <c r="A41" s="233"/>
      <c r="B41" s="331"/>
      <c r="C41" s="330"/>
      <c r="D41" s="223" t="s">
        <v>139</v>
      </c>
      <c r="E41" s="215" t="s">
        <v>116</v>
      </c>
      <c r="F41" s="205"/>
      <c r="G41" s="286" t="s">
        <v>245</v>
      </c>
      <c r="H41" s="238">
        <f>8460853.94+19.68</f>
        <v>8460873.62</v>
      </c>
      <c r="I41" s="226"/>
    </row>
    <row r="42" spans="1:9" ht="25.5">
      <c r="A42" s="233"/>
      <c r="B42" s="331"/>
      <c r="C42" s="330"/>
      <c r="D42" s="223" t="s">
        <v>139</v>
      </c>
      <c r="E42" s="215" t="s">
        <v>179</v>
      </c>
      <c r="F42" s="205"/>
      <c r="G42" s="286" t="s">
        <v>293</v>
      </c>
      <c r="H42" s="238">
        <v>40000000</v>
      </c>
      <c r="I42" s="226"/>
    </row>
    <row r="43" spans="1:9" ht="22.5" customHeight="1">
      <c r="A43" s="233"/>
      <c r="B43" s="331"/>
      <c r="C43" s="330"/>
      <c r="D43" s="223" t="s">
        <v>139</v>
      </c>
      <c r="E43" s="215" t="s">
        <v>115</v>
      </c>
      <c r="F43" s="205"/>
      <c r="G43" s="271" t="s">
        <v>474</v>
      </c>
      <c r="H43" s="238">
        <v>132170821.37</v>
      </c>
      <c r="I43" s="226"/>
    </row>
    <row r="44" spans="1:9" ht="27" customHeight="1">
      <c r="A44" s="233"/>
      <c r="B44" s="331"/>
      <c r="C44" s="330"/>
      <c r="D44" s="223" t="s">
        <v>139</v>
      </c>
      <c r="E44" s="215" t="s">
        <v>115</v>
      </c>
      <c r="F44" s="205"/>
      <c r="G44" s="271" t="s">
        <v>498</v>
      </c>
      <c r="H44" s="238">
        <v>22000000</v>
      </c>
      <c r="I44" s="226"/>
    </row>
    <row r="45" spans="1:9" ht="33" customHeight="1">
      <c r="A45" s="233"/>
      <c r="B45" s="331"/>
      <c r="C45" s="330"/>
      <c r="D45" s="223" t="s">
        <v>139</v>
      </c>
      <c r="E45" s="215" t="s">
        <v>116</v>
      </c>
      <c r="F45" s="205"/>
      <c r="G45" s="271" t="s">
        <v>497</v>
      </c>
      <c r="H45" s="238">
        <v>25000000</v>
      </c>
      <c r="I45" s="226"/>
    </row>
    <row r="46" spans="1:9" ht="22.5" customHeight="1">
      <c r="A46" s="233"/>
      <c r="B46" s="331"/>
      <c r="C46" s="330"/>
      <c r="D46" s="223" t="s">
        <v>139</v>
      </c>
      <c r="E46" s="215" t="s">
        <v>116</v>
      </c>
      <c r="F46" s="205"/>
      <c r="G46" s="271" t="s">
        <v>553</v>
      </c>
      <c r="H46" s="238">
        <f>6000*620</f>
        <v>3720000</v>
      </c>
      <c r="I46" s="226"/>
    </row>
    <row r="47" spans="1:9" ht="33.75" customHeight="1">
      <c r="A47" s="233"/>
      <c r="B47" s="331"/>
      <c r="C47" s="330"/>
      <c r="D47" s="223" t="s">
        <v>139</v>
      </c>
      <c r="E47" s="215" t="s">
        <v>179</v>
      </c>
      <c r="F47" s="205"/>
      <c r="G47" s="271" t="s">
        <v>504</v>
      </c>
      <c r="H47" s="238">
        <v>15000000</v>
      </c>
      <c r="I47" s="226"/>
    </row>
    <row r="48" spans="1:9" ht="29.25" customHeight="1">
      <c r="A48" s="233"/>
      <c r="B48" s="331"/>
      <c r="C48" s="330"/>
      <c r="D48" s="223" t="s">
        <v>139</v>
      </c>
      <c r="E48" s="215" t="s">
        <v>342</v>
      </c>
      <c r="F48" s="205"/>
      <c r="G48" s="271" t="s">
        <v>471</v>
      </c>
      <c r="H48" s="238">
        <v>18500000</v>
      </c>
      <c r="I48" s="226"/>
    </row>
    <row r="49" spans="1:9" ht="15" customHeight="1">
      <c r="A49" s="233"/>
      <c r="B49" s="266"/>
      <c r="C49" s="234"/>
      <c r="D49" s="220"/>
      <c r="E49" s="221"/>
      <c r="F49" s="221"/>
      <c r="G49" s="222"/>
      <c r="H49" s="244">
        <f>SUM(H31:H48)</f>
        <v>485454465.92</v>
      </c>
      <c r="I49" s="226">
        <f>+C31-H49</f>
        <v>0</v>
      </c>
    </row>
    <row r="50" spans="1:9" ht="15" customHeight="1">
      <c r="A50" s="233"/>
      <c r="B50" s="266"/>
      <c r="C50" s="234"/>
      <c r="D50" s="231"/>
      <c r="E50" s="214"/>
      <c r="F50" s="214"/>
      <c r="G50" s="216"/>
      <c r="H50" s="245"/>
      <c r="I50" s="226"/>
    </row>
    <row r="51" spans="1:9" ht="30" customHeight="1">
      <c r="A51" s="233"/>
      <c r="B51" s="267" t="s">
        <v>148</v>
      </c>
      <c r="C51" s="243">
        <v>47870994.42</v>
      </c>
      <c r="D51" s="284" t="s">
        <v>139</v>
      </c>
      <c r="E51" s="285" t="s">
        <v>180</v>
      </c>
      <c r="F51" s="285"/>
      <c r="G51" s="286" t="s">
        <v>300</v>
      </c>
      <c r="H51" s="326">
        <f>+C51</f>
        <v>47870994.42</v>
      </c>
      <c r="I51" s="226"/>
    </row>
    <row r="52" spans="1:9" ht="19.5" customHeight="1">
      <c r="A52" s="233"/>
      <c r="B52" s="265"/>
      <c r="C52" s="234"/>
      <c r="D52" s="220"/>
      <c r="E52" s="221"/>
      <c r="F52" s="221"/>
      <c r="G52" s="222"/>
      <c r="H52" s="244">
        <f>SUM(H51:H51)</f>
        <v>47870994.42</v>
      </c>
      <c r="I52" s="226"/>
    </row>
    <row r="53" spans="1:9" ht="16.5" customHeight="1">
      <c r="A53" s="233"/>
      <c r="B53" s="265"/>
      <c r="C53" s="234"/>
      <c r="D53" s="235"/>
      <c r="E53" s="236"/>
      <c r="F53" s="236"/>
      <c r="G53" s="237"/>
      <c r="H53" s="228"/>
      <c r="I53" s="226"/>
    </row>
    <row r="54" spans="1:10" ht="18" customHeight="1">
      <c r="A54" s="248"/>
      <c r="B54" s="268" t="s">
        <v>157</v>
      </c>
      <c r="C54" s="252">
        <v>41546800</v>
      </c>
      <c r="D54" s="235" t="s">
        <v>108</v>
      </c>
      <c r="E54" s="236" t="s">
        <v>109</v>
      </c>
      <c r="F54" s="236"/>
      <c r="G54" s="237" t="s">
        <v>408</v>
      </c>
      <c r="H54" s="239">
        <f>+C54</f>
        <v>41546800</v>
      </c>
      <c r="J54" s="85"/>
    </row>
    <row r="55" spans="1:10" ht="18.75" customHeight="1">
      <c r="A55" s="248"/>
      <c r="B55" s="268"/>
      <c r="C55" s="252"/>
      <c r="D55" s="220"/>
      <c r="E55" s="221"/>
      <c r="F55" s="221"/>
      <c r="G55" s="222"/>
      <c r="H55" s="244">
        <f>SUM(H54:H54)</f>
        <v>41546800</v>
      </c>
      <c r="I55" s="229"/>
      <c r="J55" s="85"/>
    </row>
    <row r="56" spans="1:10" ht="21" customHeight="1">
      <c r="A56" s="248"/>
      <c r="B56" s="268"/>
      <c r="C56" s="252"/>
      <c r="D56" s="235"/>
      <c r="E56" s="236"/>
      <c r="F56" s="236"/>
      <c r="G56" s="237"/>
      <c r="H56" s="239"/>
      <c r="J56" s="85"/>
    </row>
    <row r="57" spans="1:8" ht="33" customHeight="1">
      <c r="A57" s="233"/>
      <c r="B57" s="267" t="s">
        <v>146</v>
      </c>
      <c r="C57" s="252">
        <v>9497067.3</v>
      </c>
      <c r="D57" s="235" t="s">
        <v>108</v>
      </c>
      <c r="E57" s="236" t="s">
        <v>50</v>
      </c>
      <c r="F57" s="236"/>
      <c r="G57" s="249" t="s">
        <v>147</v>
      </c>
      <c r="H57" s="239">
        <f>+C57</f>
        <v>9497067.3</v>
      </c>
    </row>
    <row r="58" spans="1:9" s="242" customFormat="1" ht="19.5" customHeight="1">
      <c r="A58" s="240"/>
      <c r="B58" s="265"/>
      <c r="C58" s="238"/>
      <c r="D58" s="235"/>
      <c r="E58" s="236"/>
      <c r="F58" s="236"/>
      <c r="G58" s="250"/>
      <c r="H58" s="238"/>
      <c r="I58" s="251"/>
    </row>
    <row r="59" spans="1:9" ht="33" customHeight="1">
      <c r="A59" s="233"/>
      <c r="B59" s="314" t="s">
        <v>166</v>
      </c>
      <c r="C59" s="313">
        <v>31473383</v>
      </c>
      <c r="D59" s="235" t="s">
        <v>108</v>
      </c>
      <c r="E59" s="236" t="s">
        <v>180</v>
      </c>
      <c r="F59" s="236"/>
      <c r="G59" s="249" t="s">
        <v>204</v>
      </c>
      <c r="H59" s="228">
        <f>+C59</f>
        <v>31473383</v>
      </c>
      <c r="I59" s="241"/>
    </row>
    <row r="60" spans="1:9" ht="39" customHeight="1">
      <c r="A60" s="248"/>
      <c r="B60" s="314" t="s">
        <v>149</v>
      </c>
      <c r="C60" s="313">
        <v>41226855.25</v>
      </c>
      <c r="D60" s="235" t="s">
        <v>139</v>
      </c>
      <c r="E60" s="236" t="s">
        <v>116</v>
      </c>
      <c r="F60" s="236" t="s">
        <v>115</v>
      </c>
      <c r="G60" s="254" t="s">
        <v>407</v>
      </c>
      <c r="H60" s="228">
        <f>+C60</f>
        <v>41226855.25</v>
      </c>
      <c r="I60" s="241"/>
    </row>
    <row r="61" spans="1:9" ht="15" customHeight="1">
      <c r="A61" s="248"/>
      <c r="B61" s="314" t="s">
        <v>150</v>
      </c>
      <c r="C61" s="313">
        <v>1136598.7</v>
      </c>
      <c r="D61" s="235" t="s">
        <v>108</v>
      </c>
      <c r="E61" s="236" t="s">
        <v>109</v>
      </c>
      <c r="F61" s="236"/>
      <c r="G61" s="254" t="s">
        <v>201</v>
      </c>
      <c r="H61" s="228">
        <f>+C61</f>
        <v>1136598.7</v>
      </c>
      <c r="I61" s="241"/>
    </row>
    <row r="62" spans="1:9" ht="15" customHeight="1">
      <c r="A62" s="248"/>
      <c r="B62" s="265"/>
      <c r="C62" s="238"/>
      <c r="D62" s="235"/>
      <c r="E62" s="236"/>
      <c r="F62" s="236"/>
      <c r="G62" s="254"/>
      <c r="H62" s="228"/>
      <c r="I62" s="241"/>
    </row>
    <row r="63" spans="1:9" ht="31.5" customHeight="1">
      <c r="A63" s="248"/>
      <c r="B63" s="267" t="s">
        <v>213</v>
      </c>
      <c r="C63" s="252">
        <v>1040352.85</v>
      </c>
      <c r="D63" s="231" t="s">
        <v>139</v>
      </c>
      <c r="E63" s="214" t="s">
        <v>115</v>
      </c>
      <c r="F63" s="214"/>
      <c r="G63" s="254" t="s">
        <v>197</v>
      </c>
      <c r="H63" s="228">
        <v>312235.35</v>
      </c>
      <c r="I63" s="241"/>
    </row>
    <row r="64" spans="1:9" ht="28.5" customHeight="1">
      <c r="A64" s="248"/>
      <c r="B64" s="267"/>
      <c r="C64" s="287"/>
      <c r="D64" s="231" t="s">
        <v>139</v>
      </c>
      <c r="E64" s="214" t="s">
        <v>115</v>
      </c>
      <c r="F64" s="214"/>
      <c r="G64" s="254" t="s">
        <v>238</v>
      </c>
      <c r="H64" s="228">
        <v>728117.5</v>
      </c>
      <c r="I64" s="241"/>
    </row>
    <row r="65" spans="1:8" ht="17.25" customHeight="1">
      <c r="A65" s="248"/>
      <c r="B65" s="266"/>
      <c r="C65" s="255"/>
      <c r="D65" s="220"/>
      <c r="E65" s="221"/>
      <c r="F65" s="221"/>
      <c r="G65" s="222"/>
      <c r="H65" s="244">
        <f>SUM(H63:H64)</f>
        <v>1040352.85</v>
      </c>
    </row>
    <row r="66" spans="1:8" ht="17.25" customHeight="1">
      <c r="A66" s="269"/>
      <c r="B66" s="265"/>
      <c r="C66" s="255"/>
      <c r="D66" s="246"/>
      <c r="E66" s="236"/>
      <c r="F66" s="236"/>
      <c r="G66" s="247"/>
      <c r="H66" s="253"/>
    </row>
    <row r="67" spans="1:8" ht="33" customHeight="1">
      <c r="A67" s="248"/>
      <c r="B67" s="267" t="s">
        <v>214</v>
      </c>
      <c r="C67" s="252">
        <v>107798488.08</v>
      </c>
      <c r="D67" s="231" t="s">
        <v>139</v>
      </c>
      <c r="E67" s="214" t="s">
        <v>115</v>
      </c>
      <c r="F67" s="214"/>
      <c r="G67" s="232" t="s">
        <v>198</v>
      </c>
      <c r="H67" s="228">
        <v>2121548.73</v>
      </c>
    </row>
    <row r="68" spans="1:8" ht="30.75" customHeight="1">
      <c r="A68" s="248"/>
      <c r="B68" s="266"/>
      <c r="C68" s="238"/>
      <c r="D68" s="231" t="s">
        <v>108</v>
      </c>
      <c r="E68" s="214" t="s">
        <v>168</v>
      </c>
      <c r="F68" s="214"/>
      <c r="G68" s="232" t="s">
        <v>205</v>
      </c>
      <c r="H68" s="228">
        <f>2194764+48383171.35</f>
        <v>50577935.35</v>
      </c>
    </row>
    <row r="69" spans="1:8" ht="45.75" customHeight="1">
      <c r="A69" s="248"/>
      <c r="B69" s="266"/>
      <c r="C69" s="238"/>
      <c r="D69" s="270" t="s">
        <v>139</v>
      </c>
      <c r="E69" s="215" t="s">
        <v>115</v>
      </c>
      <c r="F69" s="215"/>
      <c r="G69" s="271" t="s">
        <v>330</v>
      </c>
      <c r="H69" s="228">
        <v>55099004</v>
      </c>
    </row>
    <row r="70" spans="1:9" ht="14.25" customHeight="1">
      <c r="A70" s="248"/>
      <c r="B70" s="266"/>
      <c r="C70" s="238"/>
      <c r="D70" s="220"/>
      <c r="E70" s="221"/>
      <c r="F70" s="221"/>
      <c r="G70" s="222"/>
      <c r="H70" s="244">
        <f>SUM(H67:H69)</f>
        <v>107798488.08</v>
      </c>
      <c r="I70" s="281"/>
    </row>
    <row r="71" spans="1:9" ht="14.25" customHeight="1">
      <c r="A71" s="248"/>
      <c r="B71" s="266"/>
      <c r="C71" s="238"/>
      <c r="D71" s="339"/>
      <c r="E71" s="285"/>
      <c r="F71" s="285"/>
      <c r="G71" s="247"/>
      <c r="H71" s="253"/>
      <c r="I71" s="281"/>
    </row>
    <row r="72" spans="1:9" ht="32.25" customHeight="1">
      <c r="A72" s="248"/>
      <c r="B72" s="329" t="s">
        <v>237</v>
      </c>
      <c r="C72" s="313">
        <v>1659625.75</v>
      </c>
      <c r="D72" s="270" t="s">
        <v>108</v>
      </c>
      <c r="E72" s="215" t="s">
        <v>191</v>
      </c>
      <c r="F72" s="215"/>
      <c r="G72" s="271" t="s">
        <v>218</v>
      </c>
      <c r="H72" s="335">
        <f>+C72</f>
        <v>1659625.75</v>
      </c>
      <c r="I72" s="226"/>
    </row>
    <row r="73" spans="1:8" ht="13.5" customHeight="1">
      <c r="A73" s="248"/>
      <c r="B73" s="329"/>
      <c r="C73" s="313"/>
      <c r="D73" s="270"/>
      <c r="E73" s="215"/>
      <c r="F73" s="215"/>
      <c r="G73" s="271"/>
      <c r="H73" s="256"/>
    </row>
    <row r="74" spans="1:8" ht="20.25" customHeight="1">
      <c r="A74" s="248"/>
      <c r="B74" s="329" t="s">
        <v>239</v>
      </c>
      <c r="C74" s="313">
        <v>26783588.8</v>
      </c>
      <c r="D74" s="270" t="s">
        <v>108</v>
      </c>
      <c r="E74" s="215" t="s">
        <v>116</v>
      </c>
      <c r="F74" s="215"/>
      <c r="G74" s="271" t="s">
        <v>240</v>
      </c>
      <c r="H74" s="334">
        <f>+C74</f>
        <v>26783588.8</v>
      </c>
    </row>
    <row r="75" spans="1:8" ht="17.25" customHeight="1">
      <c r="A75" s="248"/>
      <c r="B75" s="266"/>
      <c r="C75" s="238"/>
      <c r="D75" s="270"/>
      <c r="E75" s="215"/>
      <c r="F75" s="215"/>
      <c r="G75" s="271"/>
      <c r="H75" s="256"/>
    </row>
    <row r="76" spans="1:10" ht="30" customHeight="1" thickBot="1">
      <c r="A76" s="327" t="s">
        <v>68</v>
      </c>
      <c r="B76" s="327"/>
      <c r="C76" s="328">
        <f>+C10+C14+C26+C8</f>
        <v>1270842186.29</v>
      </c>
      <c r="D76" s="327"/>
      <c r="E76" s="327"/>
      <c r="F76" s="327"/>
      <c r="G76" s="327"/>
      <c r="H76" s="328">
        <f>+C76</f>
        <v>1270842186.29</v>
      </c>
      <c r="J76" s="229"/>
    </row>
    <row r="77" spans="1:11" s="167" customFormat="1" ht="15" customHeight="1" thickBot="1">
      <c r="A77" s="257"/>
      <c r="B77" s="257"/>
      <c r="C77" s="258"/>
      <c r="D77" s="259"/>
      <c r="E77" s="260"/>
      <c r="F77" s="261"/>
      <c r="G77" s="257"/>
      <c r="H77" s="262"/>
      <c r="I77" s="281"/>
      <c r="J77" s="224"/>
      <c r="K77" s="83"/>
    </row>
    <row r="78" spans="1:10" ht="37.5" customHeight="1" thickBot="1">
      <c r="A78" s="469" t="s">
        <v>577</v>
      </c>
      <c r="B78" s="470"/>
      <c r="C78" s="470"/>
      <c r="D78" s="470"/>
      <c r="E78" s="470"/>
      <c r="F78" s="470"/>
      <c r="G78" s="470"/>
      <c r="H78" s="471"/>
      <c r="I78" s="229"/>
      <c r="J78" s="224"/>
    </row>
    <row r="79" spans="1:10" ht="15" customHeight="1">
      <c r="A79" s="142"/>
      <c r="B79" s="142"/>
      <c r="C79" s="210"/>
      <c r="D79" s="211"/>
      <c r="E79" s="212"/>
      <c r="F79" s="211"/>
      <c r="G79" s="263"/>
      <c r="H79" s="210"/>
      <c r="J79" s="224"/>
    </row>
    <row r="80" spans="1:8" ht="15" customHeight="1">
      <c r="A80" s="142"/>
      <c r="B80" s="142"/>
      <c r="C80" s="210"/>
      <c r="D80" s="211"/>
      <c r="E80" s="212"/>
      <c r="F80" s="211"/>
      <c r="G80" s="263"/>
      <c r="H80" s="210"/>
    </row>
    <row r="81" spans="1:9" ht="15" customHeight="1">
      <c r="A81" s="142"/>
      <c r="B81" s="142"/>
      <c r="C81" s="210"/>
      <c r="D81" s="211"/>
      <c r="E81" s="212"/>
      <c r="F81" s="211"/>
      <c r="G81" s="263"/>
      <c r="H81" s="210"/>
      <c r="I81" s="229"/>
    </row>
    <row r="82" spans="1:8" ht="15" customHeight="1">
      <c r="A82" s="466" t="s">
        <v>52</v>
      </c>
      <c r="B82" s="466"/>
      <c r="C82" s="210"/>
      <c r="D82" s="211"/>
      <c r="E82" s="212"/>
      <c r="F82" s="211"/>
      <c r="G82" s="263"/>
      <c r="H82" s="210"/>
    </row>
    <row r="83" spans="7:8" ht="15" customHeight="1">
      <c r="G83" s="229"/>
      <c r="H83" s="224"/>
    </row>
    <row r="84" ht="15" customHeight="1"/>
    <row r="85" ht="15" customHeight="1"/>
    <row r="86" ht="15" customHeight="1"/>
    <row r="87" ht="15" customHeight="1"/>
    <row r="88" ht="15" customHeight="1">
      <c r="G88" s="319"/>
    </row>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sheetData>
  <sheetProtection/>
  <mergeCells count="14">
    <mergeCell ref="A82:B82"/>
    <mergeCell ref="A6:A7"/>
    <mergeCell ref="B6:B7"/>
    <mergeCell ref="C6:C7"/>
    <mergeCell ref="H6:H7"/>
    <mergeCell ref="A78:H78"/>
    <mergeCell ref="A1:H1"/>
    <mergeCell ref="A2:H2"/>
    <mergeCell ref="A3:H3"/>
    <mergeCell ref="A4:H4"/>
    <mergeCell ref="G6:G7"/>
    <mergeCell ref="D6:D7"/>
    <mergeCell ref="E6:E7"/>
    <mergeCell ref="F6:F7"/>
  </mergeCells>
  <printOptions horizontalCentered="1"/>
  <pageMargins left="0.3937007874015748" right="0.3937007874015748" top="0.3937007874015748" bottom="0.3937007874015748" header="0" footer="0"/>
  <pageSetup horizontalDpi="600" verticalDpi="600" orientation="landscape" scale="85" r:id="rId2"/>
  <ignoredErrors>
    <ignoredError sqref="F27" numberStoredAsText="1"/>
    <ignoredError sqref="H27 H60:H61" unlockedFormula="1"/>
  </ignoredErrors>
  <drawing r:id="rId1"/>
</worksheet>
</file>

<file path=xl/worksheets/sheet14.xml><?xml version="1.0" encoding="utf-8"?>
<worksheet xmlns="http://schemas.openxmlformats.org/spreadsheetml/2006/main" xmlns:r="http://schemas.openxmlformats.org/officeDocument/2006/relationships">
  <sheetPr>
    <tabColor indexed="13"/>
  </sheetPr>
  <dimension ref="A1:K37"/>
  <sheetViews>
    <sheetView zoomScalePageLayoutView="0" workbookViewId="0" topLeftCell="A13">
      <selection activeCell="B37" sqref="B37"/>
    </sheetView>
  </sheetViews>
  <sheetFormatPr defaultColWidth="11.421875" defaultRowHeight="12.75"/>
  <cols>
    <col min="1" max="1" width="71.7109375" style="0" customWidth="1"/>
    <col min="2" max="2" width="15.28125" style="57" customWidth="1"/>
  </cols>
  <sheetData>
    <row r="1" spans="1:11" ht="15.75">
      <c r="A1" s="447" t="s">
        <v>17</v>
      </c>
      <c r="B1" s="447"/>
      <c r="C1" s="2"/>
      <c r="D1" s="2"/>
      <c r="E1" s="2"/>
      <c r="F1" s="2"/>
      <c r="G1" s="2"/>
      <c r="H1" s="2"/>
      <c r="I1" s="2"/>
      <c r="J1" s="2"/>
      <c r="K1" s="2"/>
    </row>
    <row r="2" spans="1:11" ht="15.75">
      <c r="A2" s="447" t="s">
        <v>576</v>
      </c>
      <c r="B2" s="447"/>
      <c r="C2" s="2"/>
      <c r="D2" s="2"/>
      <c r="E2" s="2"/>
      <c r="F2" s="2"/>
      <c r="G2" s="2"/>
      <c r="H2" s="2"/>
      <c r="I2" s="2"/>
      <c r="J2" s="2"/>
      <c r="K2" s="2"/>
    </row>
    <row r="3" ht="15">
      <c r="A3" s="36"/>
    </row>
    <row r="4" spans="1:2" ht="15.75">
      <c r="A4" s="472" t="s">
        <v>124</v>
      </c>
      <c r="B4" s="472"/>
    </row>
    <row r="6" spans="1:2" s="33" customFormat="1" ht="15" customHeight="1">
      <c r="A6" s="40" t="s">
        <v>128</v>
      </c>
      <c r="B6" s="58" t="s">
        <v>115</v>
      </c>
    </row>
    <row r="7" spans="1:2" s="33" customFormat="1" ht="15" customHeight="1">
      <c r="A7" s="41"/>
      <c r="B7" s="59"/>
    </row>
    <row r="8" spans="1:2" s="33" customFormat="1" ht="15" customHeight="1">
      <c r="A8" s="40" t="s">
        <v>129</v>
      </c>
      <c r="B8" s="58" t="s">
        <v>116</v>
      </c>
    </row>
    <row r="9" spans="1:2" s="33" customFormat="1" ht="15" customHeight="1">
      <c r="A9" s="41"/>
      <c r="B9" s="60"/>
    </row>
    <row r="10" spans="1:2" s="33" customFormat="1" ht="15" customHeight="1">
      <c r="A10" s="40" t="s">
        <v>137</v>
      </c>
      <c r="B10" s="58" t="s">
        <v>151</v>
      </c>
    </row>
    <row r="11" spans="1:2" s="33" customFormat="1" ht="15" customHeight="1">
      <c r="A11" s="42"/>
      <c r="B11" s="59"/>
    </row>
    <row r="12" spans="1:2" s="33" customFormat="1" ht="15" customHeight="1">
      <c r="A12" s="52" t="s">
        <v>181</v>
      </c>
      <c r="B12" s="58" t="s">
        <v>180</v>
      </c>
    </row>
    <row r="13" spans="1:2" s="33" customFormat="1" ht="15" customHeight="1">
      <c r="A13" s="42"/>
      <c r="B13" s="61"/>
    </row>
    <row r="14" spans="1:2" s="33" customFormat="1" ht="15" customHeight="1">
      <c r="A14" s="40" t="s">
        <v>130</v>
      </c>
      <c r="B14" s="58" t="s">
        <v>179</v>
      </c>
    </row>
    <row r="15" spans="1:2" s="34" customFormat="1" ht="15" customHeight="1">
      <c r="A15" s="42"/>
      <c r="B15" s="60"/>
    </row>
    <row r="16" spans="1:2" s="33" customFormat="1" ht="36" customHeight="1">
      <c r="A16" s="53" t="s">
        <v>158</v>
      </c>
      <c r="B16" s="58" t="s">
        <v>277</v>
      </c>
    </row>
    <row r="17" spans="1:2" s="33" customFormat="1" ht="15" customHeight="1">
      <c r="A17" s="41"/>
      <c r="B17" s="59"/>
    </row>
    <row r="18" spans="1:2" s="33" customFormat="1" ht="17.25" customHeight="1">
      <c r="A18" s="40" t="s">
        <v>61</v>
      </c>
      <c r="B18" s="58" t="s">
        <v>278</v>
      </c>
    </row>
    <row r="19" spans="1:2" s="33" customFormat="1" ht="15" customHeight="1">
      <c r="A19" s="41"/>
      <c r="B19" s="59"/>
    </row>
    <row r="20" spans="1:2" s="33" customFormat="1" ht="15" customHeight="1">
      <c r="A20" s="40" t="s">
        <v>134</v>
      </c>
      <c r="B20" s="58" t="s">
        <v>279</v>
      </c>
    </row>
    <row r="21" spans="1:2" s="33" customFormat="1" ht="15" customHeight="1">
      <c r="A21" s="41"/>
      <c r="B21" s="59"/>
    </row>
    <row r="22" spans="1:2" s="33" customFormat="1" ht="15" customHeight="1">
      <c r="A22" s="40" t="s">
        <v>125</v>
      </c>
      <c r="B22" s="58" t="s">
        <v>579</v>
      </c>
    </row>
    <row r="23" spans="1:2" s="33" customFormat="1" ht="15" customHeight="1">
      <c r="A23" s="41"/>
      <c r="B23" s="59"/>
    </row>
    <row r="24" spans="1:2" s="33" customFormat="1" ht="15" customHeight="1">
      <c r="A24" s="40" t="s">
        <v>126</v>
      </c>
      <c r="B24" s="58" t="s">
        <v>182</v>
      </c>
    </row>
    <row r="25" spans="1:2" s="33" customFormat="1" ht="15" customHeight="1">
      <c r="A25" s="41"/>
      <c r="B25" s="59"/>
    </row>
    <row r="26" spans="1:2" s="33" customFormat="1" ht="15" customHeight="1">
      <c r="A26" s="40" t="s">
        <v>127</v>
      </c>
      <c r="B26" s="58" t="s">
        <v>580</v>
      </c>
    </row>
    <row r="27" spans="1:2" s="33" customFormat="1" ht="15" customHeight="1">
      <c r="A27" s="41"/>
      <c r="B27" s="59"/>
    </row>
    <row r="28" spans="1:4" s="33" customFormat="1" ht="15" customHeight="1">
      <c r="A28" s="40" t="s">
        <v>131</v>
      </c>
      <c r="B28" s="58" t="s">
        <v>581</v>
      </c>
      <c r="D28" s="35"/>
    </row>
    <row r="29" spans="1:2" s="33" customFormat="1" ht="15" customHeight="1">
      <c r="A29" s="41"/>
      <c r="B29" s="59"/>
    </row>
    <row r="30" spans="1:2" s="33" customFormat="1" ht="15" customHeight="1">
      <c r="A30" s="52" t="s">
        <v>159</v>
      </c>
      <c r="B30" s="58" t="s">
        <v>183</v>
      </c>
    </row>
    <row r="31" spans="1:2" s="33" customFormat="1" ht="15" customHeight="1">
      <c r="A31" s="41"/>
      <c r="B31" s="59"/>
    </row>
    <row r="32" spans="1:2" s="33" customFormat="1" ht="15" customHeight="1">
      <c r="A32" s="52" t="s">
        <v>160</v>
      </c>
      <c r="B32" s="58" t="s">
        <v>50</v>
      </c>
    </row>
    <row r="33" spans="1:2" s="33" customFormat="1" ht="15" customHeight="1">
      <c r="A33" s="41"/>
      <c r="B33" s="59"/>
    </row>
    <row r="34" spans="1:2" s="33" customFormat="1" ht="15" customHeight="1">
      <c r="A34" s="52" t="s">
        <v>161</v>
      </c>
      <c r="B34" s="58" t="s">
        <v>582</v>
      </c>
    </row>
    <row r="35" spans="1:2" s="33" customFormat="1" ht="15" customHeight="1">
      <c r="A35" s="41"/>
      <c r="B35" s="59"/>
    </row>
    <row r="36" spans="1:2" s="33" customFormat="1" ht="15" customHeight="1">
      <c r="A36" s="52" t="s">
        <v>162</v>
      </c>
      <c r="B36" s="58" t="s">
        <v>583</v>
      </c>
    </row>
    <row r="37" spans="1:2" s="33" customFormat="1" ht="15" customHeight="1">
      <c r="A37" s="41"/>
      <c r="B37" s="57"/>
    </row>
  </sheetData>
  <sheetProtection/>
  <mergeCells count="3">
    <mergeCell ref="A1:B1"/>
    <mergeCell ref="A2:B2"/>
    <mergeCell ref="A4:B4"/>
  </mergeCells>
  <printOptions horizontalCentered="1"/>
  <pageMargins left="0.7874015748031497" right="0.7874015748031497" top="0.5905511811023623" bottom="0.5905511811023623"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sheetPr>
  <dimension ref="A1:F30"/>
  <sheetViews>
    <sheetView showGridLines="0" zoomScalePageLayoutView="0" workbookViewId="0" topLeftCell="A14">
      <selection activeCell="D30" sqref="D30:E30"/>
    </sheetView>
  </sheetViews>
  <sheetFormatPr defaultColWidth="20.7109375" defaultRowHeight="12.75"/>
  <cols>
    <col min="1" max="1" width="28.00390625" style="117" customWidth="1"/>
    <col min="2" max="2" width="26.8515625" style="117" customWidth="1"/>
    <col min="3" max="3" width="21.57421875" style="117" customWidth="1"/>
    <col min="4" max="4" width="10.57421875" style="117" customWidth="1"/>
    <col min="5" max="5" width="16.140625" style="117" customWidth="1"/>
    <col min="6" max="6" width="14.421875" style="117" customWidth="1"/>
    <col min="7" max="16384" width="20.7109375" style="117" customWidth="1"/>
  </cols>
  <sheetData>
    <row r="1" spans="1:6" ht="15.75" customHeight="1">
      <c r="A1" s="386" t="s">
        <v>17</v>
      </c>
      <c r="B1" s="386"/>
      <c r="C1" s="386"/>
      <c r="D1" s="386"/>
      <c r="E1" s="386"/>
      <c r="F1" s="386"/>
    </row>
    <row r="2" spans="1:6" ht="15.75" customHeight="1">
      <c r="A2" s="386" t="s">
        <v>576</v>
      </c>
      <c r="B2" s="386"/>
      <c r="C2" s="386"/>
      <c r="D2" s="386"/>
      <c r="E2" s="386"/>
      <c r="F2" s="386"/>
    </row>
    <row r="3" spans="1:6" ht="15" customHeight="1">
      <c r="A3" s="386" t="s">
        <v>45</v>
      </c>
      <c r="B3" s="386"/>
      <c r="C3" s="386"/>
      <c r="D3" s="386"/>
      <c r="E3" s="386"/>
      <c r="F3" s="386"/>
    </row>
    <row r="4" spans="1:6" ht="15" customHeight="1">
      <c r="A4" s="275"/>
      <c r="B4" s="275"/>
      <c r="C4" s="275"/>
      <c r="D4" s="275"/>
      <c r="E4" s="275"/>
      <c r="F4" s="275"/>
    </row>
    <row r="5" spans="1:6" ht="15" customHeight="1">
      <c r="A5" s="277" t="str">
        <f>+Ingresos!A7</f>
        <v>1,3,9,9,00,00,0,0,000</v>
      </c>
      <c r="B5" s="377" t="str">
        <f>+Ingresos!B7</f>
        <v>Ingresos varios no específicados</v>
      </c>
      <c r="C5" s="378"/>
      <c r="D5" s="379"/>
      <c r="E5" s="278">
        <f>+Ingresos!C7</f>
        <v>14678002.08</v>
      </c>
      <c r="F5" s="279">
        <f>+Ingresos!D6</f>
        <v>0.016869333659212497</v>
      </c>
    </row>
    <row r="6" spans="1:6" ht="37.5" customHeight="1">
      <c r="A6" s="380" t="s">
        <v>569</v>
      </c>
      <c r="B6" s="381"/>
      <c r="C6" s="381"/>
      <c r="D6" s="381"/>
      <c r="E6" s="381"/>
      <c r="F6" s="382"/>
    </row>
    <row r="7" spans="1:6" ht="15" customHeight="1">
      <c r="A7" s="275"/>
      <c r="B7" s="275"/>
      <c r="C7" s="275"/>
      <c r="D7" s="275"/>
      <c r="E7" s="275"/>
      <c r="F7" s="275"/>
    </row>
    <row r="8" spans="1:6" ht="33" customHeight="1">
      <c r="A8" s="277" t="s">
        <v>184</v>
      </c>
      <c r="B8" s="377" t="s">
        <v>211</v>
      </c>
      <c r="C8" s="378"/>
      <c r="D8" s="379"/>
      <c r="E8" s="278">
        <f>+Ingresos!C10</f>
        <v>52078236.129999995</v>
      </c>
      <c r="F8" s="279">
        <f>+Ingresos!D10</f>
        <v>0.059853182801853456</v>
      </c>
    </row>
    <row r="9" spans="1:6" ht="107.25" customHeight="1">
      <c r="A9" s="380" t="s">
        <v>538</v>
      </c>
      <c r="B9" s="381"/>
      <c r="C9" s="381"/>
      <c r="D9" s="381"/>
      <c r="E9" s="381"/>
      <c r="F9" s="382"/>
    </row>
    <row r="10" spans="1:6" ht="25.5" customHeight="1">
      <c r="A10" s="277" t="s">
        <v>101</v>
      </c>
      <c r="B10" s="377" t="s">
        <v>281</v>
      </c>
      <c r="C10" s="378"/>
      <c r="D10" s="379"/>
      <c r="E10" s="278">
        <f>Ingresos!C14</f>
        <v>333986252.59</v>
      </c>
      <c r="F10" s="279">
        <f>Ingresos!D14</f>
        <v>0.26280702371473363</v>
      </c>
    </row>
    <row r="11" spans="1:6" ht="57" customHeight="1">
      <c r="A11" s="380" t="s">
        <v>539</v>
      </c>
      <c r="B11" s="381"/>
      <c r="C11" s="381"/>
      <c r="D11" s="381"/>
      <c r="E11" s="381"/>
      <c r="F11" s="382"/>
    </row>
    <row r="12" spans="1:6" ht="25.5" customHeight="1">
      <c r="A12" s="277" t="s">
        <v>102</v>
      </c>
      <c r="B12" s="377" t="s">
        <v>282</v>
      </c>
      <c r="C12" s="378"/>
      <c r="D12" s="379"/>
      <c r="E12" s="278">
        <f>Ingresos!C15</f>
        <v>870099695.49</v>
      </c>
      <c r="F12" s="279">
        <f>Ingresos!D15</f>
        <v>0.6846638432975718</v>
      </c>
    </row>
    <row r="13" spans="1:6" ht="70.5" customHeight="1">
      <c r="A13" s="387" t="s">
        <v>540</v>
      </c>
      <c r="B13" s="387"/>
      <c r="C13" s="387"/>
      <c r="D13" s="387"/>
      <c r="E13" s="387"/>
      <c r="F13" s="387"/>
    </row>
    <row r="14" spans="1:5" ht="15" customHeight="1">
      <c r="A14" s="276"/>
      <c r="B14" s="383" t="s">
        <v>15</v>
      </c>
      <c r="C14" s="383"/>
      <c r="D14" s="383" t="s">
        <v>20</v>
      </c>
      <c r="E14" s="383"/>
    </row>
    <row r="15" spans="2:5" ht="30" customHeight="1">
      <c r="B15" s="375" t="s">
        <v>141</v>
      </c>
      <c r="C15" s="376"/>
      <c r="D15" s="374">
        <v>16252106.66</v>
      </c>
      <c r="E15" s="374"/>
    </row>
    <row r="16" spans="2:5" ht="18" customHeight="1">
      <c r="B16" s="375" t="s">
        <v>224</v>
      </c>
      <c r="C16" s="376">
        <v>54619283.99</v>
      </c>
      <c r="D16" s="374">
        <v>54619283.99</v>
      </c>
      <c r="E16" s="374"/>
    </row>
    <row r="17" spans="2:5" ht="32.25" customHeight="1">
      <c r="B17" s="375" t="s">
        <v>425</v>
      </c>
      <c r="C17" s="376">
        <v>3740084.77</v>
      </c>
      <c r="D17" s="374">
        <v>3740084.77</v>
      </c>
      <c r="E17" s="374"/>
    </row>
    <row r="18" spans="2:5" ht="25.5" customHeight="1">
      <c r="B18" s="375" t="s">
        <v>165</v>
      </c>
      <c r="C18" s="376">
        <v>485454465.92</v>
      </c>
      <c r="D18" s="374">
        <v>485454465.92</v>
      </c>
      <c r="E18" s="374"/>
    </row>
    <row r="19" spans="2:5" ht="14.25">
      <c r="B19" s="375" t="s">
        <v>148</v>
      </c>
      <c r="C19" s="376">
        <v>47870994.42</v>
      </c>
      <c r="D19" s="374">
        <v>47870994.42</v>
      </c>
      <c r="E19" s="374">
        <v>47870994.42</v>
      </c>
    </row>
    <row r="20" spans="2:5" ht="14.25">
      <c r="B20" s="375" t="s">
        <v>157</v>
      </c>
      <c r="C20" s="376">
        <v>41546800</v>
      </c>
      <c r="D20" s="374">
        <v>41546800</v>
      </c>
      <c r="E20" s="374"/>
    </row>
    <row r="21" spans="2:5" ht="14.25">
      <c r="B21" s="375" t="s">
        <v>146</v>
      </c>
      <c r="C21" s="376">
        <v>9497067.3</v>
      </c>
      <c r="D21" s="374">
        <v>9497067.3</v>
      </c>
      <c r="E21" s="374"/>
    </row>
    <row r="22" spans="2:5" ht="14.25">
      <c r="B22" s="375" t="s">
        <v>166</v>
      </c>
      <c r="C22" s="376">
        <v>31473383</v>
      </c>
      <c r="D22" s="374">
        <v>31473383</v>
      </c>
      <c r="E22" s="374"/>
    </row>
    <row r="23" spans="2:5" ht="24" customHeight="1">
      <c r="B23" s="375" t="s">
        <v>149</v>
      </c>
      <c r="C23" s="376">
        <v>41226855.25</v>
      </c>
      <c r="D23" s="374">
        <v>41226855.25</v>
      </c>
      <c r="E23" s="374"/>
    </row>
    <row r="24" spans="2:5" ht="14.25">
      <c r="B24" s="375" t="s">
        <v>150</v>
      </c>
      <c r="C24" s="376">
        <v>1136598.7</v>
      </c>
      <c r="D24" s="374">
        <v>1136598.7</v>
      </c>
      <c r="E24" s="374"/>
    </row>
    <row r="25" spans="2:5" ht="14.25" customHeight="1">
      <c r="B25" s="375" t="s">
        <v>213</v>
      </c>
      <c r="C25" s="376">
        <v>1040352.85</v>
      </c>
      <c r="D25" s="374">
        <v>1040352.85</v>
      </c>
      <c r="E25" s="374"/>
    </row>
    <row r="26" spans="2:5" ht="14.25">
      <c r="B26" s="375" t="s">
        <v>214</v>
      </c>
      <c r="C26" s="376">
        <v>107798488.08</v>
      </c>
      <c r="D26" s="374">
        <v>107798488.08</v>
      </c>
      <c r="E26" s="374"/>
    </row>
    <row r="27" spans="2:5" ht="14.25">
      <c r="B27" s="375" t="s">
        <v>237</v>
      </c>
      <c r="C27" s="376">
        <v>1659625.75</v>
      </c>
      <c r="D27" s="374">
        <v>1659625.75</v>
      </c>
      <c r="E27" s="374"/>
    </row>
    <row r="28" spans="2:5" ht="14.25">
      <c r="B28" s="375" t="s">
        <v>239</v>
      </c>
      <c r="C28" s="376">
        <v>26783588.8</v>
      </c>
      <c r="D28" s="374">
        <v>26783588.8</v>
      </c>
      <c r="E28" s="374"/>
    </row>
    <row r="29" spans="2:5" ht="14.25">
      <c r="B29" s="375" t="s">
        <v>49</v>
      </c>
      <c r="C29" s="376">
        <v>20576834.2</v>
      </c>
      <c r="D29" s="374">
        <v>0</v>
      </c>
      <c r="E29" s="374"/>
    </row>
    <row r="30" spans="2:5" ht="15">
      <c r="B30" s="383" t="s">
        <v>35</v>
      </c>
      <c r="C30" s="383"/>
      <c r="D30" s="384">
        <f>SUM(D15:D29)</f>
        <v>870099695.49</v>
      </c>
      <c r="E30" s="385"/>
    </row>
  </sheetData>
  <sheetProtection/>
  <mergeCells count="45">
    <mergeCell ref="A11:F11"/>
    <mergeCell ref="D15:E15"/>
    <mergeCell ref="D16:E16"/>
    <mergeCell ref="B14:C14"/>
    <mergeCell ref="D14:E14"/>
    <mergeCell ref="B12:D12"/>
    <mergeCell ref="A13:F13"/>
    <mergeCell ref="B15:C15"/>
    <mergeCell ref="B16:C16"/>
    <mergeCell ref="B17:C17"/>
    <mergeCell ref="D19:E19"/>
    <mergeCell ref="D17:E17"/>
    <mergeCell ref="D18:E18"/>
    <mergeCell ref="A1:F1"/>
    <mergeCell ref="A2:F2"/>
    <mergeCell ref="A3:F3"/>
    <mergeCell ref="A9:F9"/>
    <mergeCell ref="B8:D8"/>
    <mergeCell ref="B10:D10"/>
    <mergeCell ref="B30:C30"/>
    <mergeCell ref="B25:C25"/>
    <mergeCell ref="D22:E22"/>
    <mergeCell ref="D23:E23"/>
    <mergeCell ref="D28:E28"/>
    <mergeCell ref="D30:E30"/>
    <mergeCell ref="D24:E24"/>
    <mergeCell ref="D25:E25"/>
    <mergeCell ref="B24:C24"/>
    <mergeCell ref="D26:E26"/>
    <mergeCell ref="B18:C18"/>
    <mergeCell ref="B19:C19"/>
    <mergeCell ref="B20:C20"/>
    <mergeCell ref="B21:C21"/>
    <mergeCell ref="B23:C23"/>
    <mergeCell ref="B5:D5"/>
    <mergeCell ref="A6:F6"/>
    <mergeCell ref="B22:C22"/>
    <mergeCell ref="D21:E21"/>
    <mergeCell ref="D20:E20"/>
    <mergeCell ref="D27:E27"/>
    <mergeCell ref="D29:E29"/>
    <mergeCell ref="B26:C26"/>
    <mergeCell ref="B27:C27"/>
    <mergeCell ref="B28:C28"/>
    <mergeCell ref="B29:C29"/>
  </mergeCells>
  <printOptions horizontalCentered="1"/>
  <pageMargins left="0.393700787401575" right="0.393700787401575" top="1.143700787" bottom="1.143700787" header="0" footer="0"/>
  <pageSetup horizontalDpi="600" verticalDpi="600" orientation="portrait" scale="80" r:id="rId2"/>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3"/>
  </sheetPr>
  <dimension ref="A1:K212"/>
  <sheetViews>
    <sheetView showGridLines="0" zoomScalePageLayoutView="0" workbookViewId="0" topLeftCell="A205">
      <selection activeCell="D216" sqref="D216"/>
    </sheetView>
  </sheetViews>
  <sheetFormatPr defaultColWidth="11.421875" defaultRowHeight="12.75"/>
  <cols>
    <col min="1" max="1" width="10.00390625" style="17" customWidth="1"/>
    <col min="2" max="3" width="11.421875" style="17" customWidth="1"/>
    <col min="4" max="4" width="12.57421875" style="17" customWidth="1"/>
    <col min="5" max="5" width="17.7109375" style="17" customWidth="1"/>
    <col min="6" max="6" width="7.57421875" style="17" customWidth="1"/>
    <col min="7" max="7" width="22.28125" style="17" customWidth="1"/>
    <col min="8" max="8" width="8.28125" style="17" customWidth="1"/>
    <col min="9" max="9" width="16.421875" style="17" customWidth="1"/>
    <col min="10" max="11" width="20.57421875" style="17" bestFit="1" customWidth="1"/>
    <col min="12" max="16384" width="11.421875" style="17" customWidth="1"/>
  </cols>
  <sheetData>
    <row r="1" spans="1:9" ht="15">
      <c r="A1" s="415" t="s">
        <v>17</v>
      </c>
      <c r="B1" s="415"/>
      <c r="C1" s="415"/>
      <c r="D1" s="415"/>
      <c r="E1" s="415"/>
      <c r="F1" s="415"/>
      <c r="G1" s="415"/>
      <c r="H1" s="415"/>
      <c r="I1" s="415"/>
    </row>
    <row r="2" spans="1:9" ht="15">
      <c r="A2" s="415" t="s">
        <v>576</v>
      </c>
      <c r="B2" s="415"/>
      <c r="C2" s="415"/>
      <c r="D2" s="415"/>
      <c r="E2" s="415"/>
      <c r="F2" s="415"/>
      <c r="G2" s="415"/>
      <c r="H2" s="415"/>
      <c r="I2" s="415"/>
    </row>
    <row r="3" spans="1:9" ht="15">
      <c r="A3" s="415" t="s">
        <v>104</v>
      </c>
      <c r="B3" s="415"/>
      <c r="C3" s="415"/>
      <c r="D3" s="415"/>
      <c r="E3" s="415"/>
      <c r="F3" s="415"/>
      <c r="G3" s="415"/>
      <c r="H3" s="415"/>
      <c r="I3" s="415"/>
    </row>
    <row r="4" spans="1:6" ht="14.25">
      <c r="A4" s="18"/>
      <c r="B4" s="18"/>
      <c r="C4" s="18"/>
      <c r="D4" s="18"/>
      <c r="E4" s="18"/>
      <c r="F4" s="18"/>
    </row>
    <row r="5" spans="1:9" ht="18" customHeight="1">
      <c r="A5" s="407" t="s">
        <v>22</v>
      </c>
      <c r="B5" s="407"/>
      <c r="C5" s="407"/>
      <c r="D5" s="407"/>
      <c r="E5" s="407"/>
      <c r="F5" s="407"/>
      <c r="G5" s="407"/>
      <c r="H5" s="407"/>
      <c r="I5" s="407"/>
    </row>
    <row r="6" spans="1:6" ht="13.5" customHeight="1">
      <c r="A6" s="18"/>
      <c r="B6" s="18"/>
      <c r="C6" s="18"/>
      <c r="D6" s="18"/>
      <c r="E6" s="18"/>
      <c r="F6" s="18"/>
    </row>
    <row r="7" spans="1:9" ht="13.5" customHeight="1">
      <c r="A7" s="414" t="s">
        <v>107</v>
      </c>
      <c r="B7" s="414"/>
      <c r="C7" s="414"/>
      <c r="D7" s="414"/>
      <c r="E7" s="414"/>
      <c r="F7" s="19"/>
      <c r="G7" s="20">
        <f>+'Gral y X Prog.'!C9</f>
        <v>92360893.41</v>
      </c>
      <c r="H7" s="19"/>
      <c r="I7" s="19"/>
    </row>
    <row r="8" spans="1:9" ht="42" customHeight="1">
      <c r="A8" s="405" t="s">
        <v>603</v>
      </c>
      <c r="B8" s="405"/>
      <c r="C8" s="405"/>
      <c r="D8" s="405"/>
      <c r="E8" s="405"/>
      <c r="F8" s="405"/>
      <c r="G8" s="405"/>
      <c r="H8" s="405"/>
      <c r="I8" s="405"/>
    </row>
    <row r="9" spans="1:6" ht="13.5" customHeight="1">
      <c r="A9" s="18"/>
      <c r="B9" s="18"/>
      <c r="C9" s="18"/>
      <c r="D9" s="18"/>
      <c r="E9" s="18"/>
      <c r="F9" s="18"/>
    </row>
    <row r="10" spans="1:9" ht="13.5" customHeight="1">
      <c r="A10" s="414" t="s">
        <v>28</v>
      </c>
      <c r="B10" s="414"/>
      <c r="C10" s="414"/>
      <c r="D10" s="414"/>
      <c r="E10" s="414"/>
      <c r="F10" s="19"/>
      <c r="G10" s="20">
        <f>+'Gral y X Prog.'!C27</f>
        <v>34569882.1</v>
      </c>
      <c r="H10" s="19"/>
      <c r="I10" s="19"/>
    </row>
    <row r="11" spans="1:9" ht="54.75" customHeight="1">
      <c r="A11" s="405" t="s">
        <v>541</v>
      </c>
      <c r="B11" s="405"/>
      <c r="C11" s="405"/>
      <c r="D11" s="405"/>
      <c r="E11" s="405"/>
      <c r="F11" s="405"/>
      <c r="G11" s="405"/>
      <c r="H11" s="405"/>
      <c r="I11" s="405"/>
    </row>
    <row r="12" spans="1:6" ht="13.5" customHeight="1">
      <c r="A12" s="18"/>
      <c r="B12" s="18"/>
      <c r="C12" s="18"/>
      <c r="D12" s="18"/>
      <c r="E12" s="18"/>
      <c r="F12" s="18"/>
    </row>
    <row r="13" spans="1:9" ht="13.5" customHeight="1">
      <c r="A13" s="414" t="s">
        <v>272</v>
      </c>
      <c r="B13" s="414"/>
      <c r="C13" s="414"/>
      <c r="D13" s="414"/>
      <c r="E13" s="414"/>
      <c r="F13" s="19"/>
      <c r="G13" s="20">
        <f>+'Gral y X Prog.'!C61</f>
        <v>20000000</v>
      </c>
      <c r="H13" s="19"/>
      <c r="I13" s="19"/>
    </row>
    <row r="14" spans="1:9" ht="38.25" customHeight="1">
      <c r="A14" s="405" t="s">
        <v>542</v>
      </c>
      <c r="B14" s="405"/>
      <c r="C14" s="405"/>
      <c r="D14" s="405"/>
      <c r="E14" s="405"/>
      <c r="F14" s="405"/>
      <c r="G14" s="405"/>
      <c r="H14" s="405"/>
      <c r="I14" s="405"/>
    </row>
    <row r="15" spans="1:6" ht="13.5" customHeight="1">
      <c r="A15" s="18"/>
      <c r="B15" s="18"/>
      <c r="C15" s="18"/>
      <c r="D15" s="18"/>
      <c r="E15" s="18"/>
      <c r="F15" s="18"/>
    </row>
    <row r="16" spans="1:9" ht="17.25" customHeight="1">
      <c r="A16" s="414" t="s">
        <v>113</v>
      </c>
      <c r="B16" s="414"/>
      <c r="C16" s="414"/>
      <c r="D16" s="414"/>
      <c r="E16" s="414"/>
      <c r="F16" s="19"/>
      <c r="G16" s="20">
        <f>'Gral y X Prog.'!C75</f>
        <v>19042106.66</v>
      </c>
      <c r="H16" s="19"/>
      <c r="I16" s="19"/>
    </row>
    <row r="17" spans="1:6" ht="14.25">
      <c r="A17" s="18"/>
      <c r="B17" s="18"/>
      <c r="C17" s="18"/>
      <c r="D17" s="18"/>
      <c r="E17" s="18"/>
      <c r="F17" s="18"/>
    </row>
    <row r="18" spans="1:9" ht="69.75" customHeight="1">
      <c r="A18" s="405" t="s">
        <v>604</v>
      </c>
      <c r="B18" s="405"/>
      <c r="C18" s="405"/>
      <c r="D18" s="405"/>
      <c r="E18" s="405"/>
      <c r="F18" s="405"/>
      <c r="G18" s="405"/>
      <c r="H18" s="405"/>
      <c r="I18" s="405"/>
    </row>
    <row r="19" spans="1:6" ht="14.25">
      <c r="A19" s="18"/>
      <c r="B19" s="18"/>
      <c r="C19" s="18"/>
      <c r="D19" s="18"/>
      <c r="E19" s="18"/>
      <c r="F19" s="18"/>
    </row>
    <row r="20" spans="1:6" ht="14.25">
      <c r="A20" s="18"/>
      <c r="B20" s="18"/>
      <c r="C20" s="18"/>
      <c r="D20" s="18"/>
      <c r="E20" s="18"/>
      <c r="F20" s="18"/>
    </row>
    <row r="21" spans="1:7" ht="15">
      <c r="A21" s="18"/>
      <c r="B21" s="388" t="s">
        <v>15</v>
      </c>
      <c r="C21" s="388"/>
      <c r="D21" s="388"/>
      <c r="E21" s="388"/>
      <c r="F21" s="388" t="s">
        <v>20</v>
      </c>
      <c r="G21" s="388"/>
    </row>
    <row r="22" spans="1:7" ht="29.25" customHeight="1">
      <c r="A22" s="18"/>
      <c r="B22" s="402" t="s">
        <v>46</v>
      </c>
      <c r="C22" s="403"/>
      <c r="D22" s="403"/>
      <c r="E22" s="408"/>
      <c r="F22" s="417">
        <v>16252106.66</v>
      </c>
      <c r="G22" s="418"/>
    </row>
    <row r="23" spans="1:7" ht="37.5" customHeight="1">
      <c r="A23" s="18"/>
      <c r="B23" s="411" t="s">
        <v>302</v>
      </c>
      <c r="C23" s="412"/>
      <c r="D23" s="412"/>
      <c r="E23" s="413"/>
      <c r="F23" s="419">
        <v>2790000</v>
      </c>
      <c r="G23" s="420"/>
    </row>
    <row r="24" spans="1:7" ht="15">
      <c r="A24" s="18"/>
      <c r="B24" s="397" t="s">
        <v>51</v>
      </c>
      <c r="C24" s="398"/>
      <c r="D24" s="398"/>
      <c r="E24" s="399"/>
      <c r="F24" s="396">
        <f>SUM(F22:G23)</f>
        <v>19042106.66</v>
      </c>
      <c r="G24" s="388"/>
    </row>
    <row r="25" spans="1:6" ht="14.25">
      <c r="A25" s="18"/>
      <c r="B25" s="18"/>
      <c r="C25" s="18"/>
      <c r="D25" s="18"/>
      <c r="E25" s="18"/>
      <c r="F25" s="18"/>
    </row>
    <row r="26" spans="1:6" ht="14.25">
      <c r="A26" s="18"/>
      <c r="B26" s="18"/>
      <c r="C26" s="18"/>
      <c r="D26" s="18"/>
      <c r="E26" s="18"/>
      <c r="F26" s="18"/>
    </row>
    <row r="27" spans="1:6" ht="14.25">
      <c r="A27" s="18"/>
      <c r="B27" s="18"/>
      <c r="C27" s="18"/>
      <c r="D27" s="18"/>
      <c r="E27" s="18"/>
      <c r="F27" s="18"/>
    </row>
    <row r="28" spans="1:6" ht="14.25">
      <c r="A28" s="18"/>
      <c r="B28" s="18"/>
      <c r="C28" s="18"/>
      <c r="D28" s="18"/>
      <c r="E28" s="18"/>
      <c r="F28" s="18"/>
    </row>
    <row r="29" spans="1:6" ht="14.25">
      <c r="A29" s="18"/>
      <c r="B29" s="18"/>
      <c r="C29" s="18"/>
      <c r="D29" s="18"/>
      <c r="E29" s="18"/>
      <c r="F29" s="18"/>
    </row>
    <row r="30" spans="1:6" ht="14.25">
      <c r="A30" s="18"/>
      <c r="B30" s="18"/>
      <c r="C30" s="18"/>
      <c r="D30" s="18"/>
      <c r="E30" s="18"/>
      <c r="F30" s="18"/>
    </row>
    <row r="31" spans="1:6" ht="14.25">
      <c r="A31" s="18"/>
      <c r="B31" s="18"/>
      <c r="C31" s="18"/>
      <c r="D31" s="18"/>
      <c r="E31" s="18"/>
      <c r="F31" s="18"/>
    </row>
    <row r="32" spans="1:6" ht="14.25">
      <c r="A32" s="18"/>
      <c r="B32" s="18"/>
      <c r="C32" s="18"/>
      <c r="D32" s="18"/>
      <c r="E32" s="18"/>
      <c r="F32" s="18"/>
    </row>
    <row r="33" spans="1:6" ht="14.25">
      <c r="A33" s="18"/>
      <c r="B33" s="18"/>
      <c r="C33" s="18"/>
      <c r="D33" s="18"/>
      <c r="E33" s="18"/>
      <c r="F33" s="18"/>
    </row>
    <row r="34" spans="1:6" ht="14.25">
      <c r="A34" s="18"/>
      <c r="B34" s="18"/>
      <c r="C34" s="18"/>
      <c r="D34" s="18"/>
      <c r="E34" s="18"/>
      <c r="F34" s="18"/>
    </row>
    <row r="35" spans="1:6" ht="14.25">
      <c r="A35" s="18"/>
      <c r="B35" s="18"/>
      <c r="C35" s="18"/>
      <c r="D35" s="18"/>
      <c r="E35" s="18"/>
      <c r="F35" s="18"/>
    </row>
    <row r="36" spans="1:6" ht="14.25">
      <c r="A36" s="18"/>
      <c r="B36" s="18"/>
      <c r="C36" s="18"/>
      <c r="D36" s="18"/>
      <c r="E36" s="18"/>
      <c r="F36" s="18"/>
    </row>
    <row r="37" spans="1:6" ht="14.25">
      <c r="A37" s="18"/>
      <c r="B37" s="18"/>
      <c r="C37" s="18"/>
      <c r="D37" s="18"/>
      <c r="E37" s="18"/>
      <c r="F37" s="18"/>
    </row>
    <row r="38" spans="1:6" ht="14.25">
      <c r="A38" s="18"/>
      <c r="B38" s="18"/>
      <c r="C38" s="18"/>
      <c r="D38" s="18"/>
      <c r="E38" s="18"/>
      <c r="F38" s="18"/>
    </row>
    <row r="39" spans="1:6" ht="14.25">
      <c r="A39" s="18"/>
      <c r="B39" s="18"/>
      <c r="C39" s="18"/>
      <c r="D39" s="18"/>
      <c r="E39" s="18"/>
      <c r="F39" s="18"/>
    </row>
    <row r="40" spans="1:6" ht="14.25">
      <c r="A40" s="18"/>
      <c r="B40" s="18"/>
      <c r="C40" s="18"/>
      <c r="D40" s="18"/>
      <c r="E40" s="18"/>
      <c r="F40" s="18"/>
    </row>
    <row r="41" spans="1:6" ht="14.25">
      <c r="A41" s="18"/>
      <c r="B41" s="18"/>
      <c r="C41" s="18"/>
      <c r="D41" s="18"/>
      <c r="E41" s="18"/>
      <c r="F41" s="18"/>
    </row>
    <row r="42" spans="1:6" ht="14.25">
      <c r="A42" s="18"/>
      <c r="B42" s="18"/>
      <c r="C42" s="18"/>
      <c r="D42" s="18"/>
      <c r="E42" s="18"/>
      <c r="F42" s="18"/>
    </row>
    <row r="43" spans="1:6" ht="14.25">
      <c r="A43" s="18"/>
      <c r="B43" s="18"/>
      <c r="C43" s="18"/>
      <c r="D43" s="18"/>
      <c r="E43" s="18"/>
      <c r="F43" s="18"/>
    </row>
    <row r="44" spans="1:6" ht="14.25">
      <c r="A44" s="18"/>
      <c r="B44" s="18"/>
      <c r="C44" s="18"/>
      <c r="D44" s="18"/>
      <c r="E44" s="18"/>
      <c r="F44" s="18"/>
    </row>
    <row r="45" spans="1:6" ht="14.25">
      <c r="A45" s="18"/>
      <c r="B45" s="18"/>
      <c r="C45" s="18"/>
      <c r="D45" s="18"/>
      <c r="E45" s="18"/>
      <c r="F45" s="18"/>
    </row>
    <row r="46" spans="1:6" ht="14.25">
      <c r="A46" s="18"/>
      <c r="B46" s="18"/>
      <c r="C46" s="18"/>
      <c r="D46" s="18"/>
      <c r="E46" s="18"/>
      <c r="F46" s="18"/>
    </row>
    <row r="47" spans="1:6" ht="14.25">
      <c r="A47" s="18"/>
      <c r="B47" s="18"/>
      <c r="C47" s="18"/>
      <c r="D47" s="18"/>
      <c r="E47" s="18"/>
      <c r="F47" s="18"/>
    </row>
    <row r="48" spans="1:6" ht="14.25">
      <c r="A48" s="18"/>
      <c r="B48" s="18"/>
      <c r="C48" s="18"/>
      <c r="D48" s="18"/>
      <c r="E48" s="18"/>
      <c r="F48" s="18"/>
    </row>
    <row r="49" spans="1:6" ht="14.25">
      <c r="A49" s="18"/>
      <c r="B49" s="18"/>
      <c r="C49" s="18"/>
      <c r="D49" s="18"/>
      <c r="E49" s="18"/>
      <c r="F49" s="18"/>
    </row>
    <row r="50" spans="1:9" ht="15.75" customHeight="1">
      <c r="A50" s="407" t="s">
        <v>21</v>
      </c>
      <c r="B50" s="407"/>
      <c r="C50" s="407"/>
      <c r="D50" s="407"/>
      <c r="E50" s="407"/>
      <c r="F50" s="407"/>
      <c r="G50" s="407"/>
      <c r="H50" s="407"/>
      <c r="I50" s="407"/>
    </row>
    <row r="51" spans="1:4" ht="15">
      <c r="A51" s="16"/>
      <c r="B51" s="16"/>
      <c r="C51" s="16"/>
      <c r="D51" s="16"/>
    </row>
    <row r="52" spans="1:9" ht="14.25" customHeight="1">
      <c r="A52" s="21" t="s">
        <v>107</v>
      </c>
      <c r="B52" s="22"/>
      <c r="C52" s="22"/>
      <c r="D52" s="22"/>
      <c r="E52" s="22"/>
      <c r="F52" s="22"/>
      <c r="G52" s="23">
        <f>+'Gral y X Prog.'!E9</f>
        <v>17178002.08</v>
      </c>
      <c r="H52" s="22"/>
      <c r="I52" s="22"/>
    </row>
    <row r="53" spans="1:9" ht="81" customHeight="1">
      <c r="A53" s="405" t="s">
        <v>543</v>
      </c>
      <c r="B53" s="405"/>
      <c r="C53" s="405"/>
      <c r="D53" s="405"/>
      <c r="E53" s="405"/>
      <c r="F53" s="405"/>
      <c r="G53" s="405"/>
      <c r="H53" s="405"/>
      <c r="I53" s="405"/>
    </row>
    <row r="54" spans="1:9" ht="15">
      <c r="A54" s="21" t="s">
        <v>105</v>
      </c>
      <c r="B54" s="22"/>
      <c r="C54" s="22"/>
      <c r="D54" s="22"/>
      <c r="E54" s="22"/>
      <c r="F54" s="22"/>
      <c r="G54" s="23">
        <f>'Gral y X Prog.'!E27</f>
        <v>59224940.519999996</v>
      </c>
      <c r="H54" s="22"/>
      <c r="I54" s="22"/>
    </row>
    <row r="55" spans="1:9" ht="95.25" customHeight="1">
      <c r="A55" s="405" t="s">
        <v>545</v>
      </c>
      <c r="B55" s="405"/>
      <c r="C55" s="405"/>
      <c r="D55" s="405"/>
      <c r="E55" s="405"/>
      <c r="F55" s="405"/>
      <c r="G55" s="405"/>
      <c r="H55" s="405"/>
      <c r="I55" s="405"/>
    </row>
    <row r="56" spans="1:9" ht="15">
      <c r="A56" s="21" t="s">
        <v>546</v>
      </c>
      <c r="B56" s="22"/>
      <c r="C56" s="22"/>
      <c r="D56" s="22"/>
      <c r="E56" s="22"/>
      <c r="F56" s="22"/>
      <c r="G56" s="24">
        <f>'Gral y X Prog.'!E43</f>
        <v>13650000</v>
      </c>
      <c r="H56" s="22"/>
      <c r="I56" s="22"/>
    </row>
    <row r="57" spans="1:9" ht="99" customHeight="1">
      <c r="A57" s="405" t="s">
        <v>570</v>
      </c>
      <c r="B57" s="405"/>
      <c r="C57" s="405"/>
      <c r="D57" s="405"/>
      <c r="E57" s="405"/>
      <c r="F57" s="405"/>
      <c r="G57" s="405"/>
      <c r="H57" s="405"/>
      <c r="I57" s="405"/>
    </row>
    <row r="58" spans="1:9" ht="15">
      <c r="A58" s="21" t="s">
        <v>25</v>
      </c>
      <c r="B58" s="22"/>
      <c r="C58" s="22"/>
      <c r="D58" s="22"/>
      <c r="E58" s="22"/>
      <c r="F58" s="22"/>
      <c r="G58" s="23">
        <f>'Gral y X Prog.'!E61</f>
        <v>88463737.92999999</v>
      </c>
      <c r="H58" s="22"/>
      <c r="I58" s="22"/>
    </row>
    <row r="59" spans="1:10" ht="88.5" customHeight="1">
      <c r="A59" s="405" t="s">
        <v>547</v>
      </c>
      <c r="B59" s="405"/>
      <c r="C59" s="405"/>
      <c r="D59" s="405"/>
      <c r="E59" s="405"/>
      <c r="F59" s="405"/>
      <c r="G59" s="405"/>
      <c r="H59" s="405"/>
      <c r="I59" s="405"/>
      <c r="J59" s="44"/>
    </row>
    <row r="60" spans="1:9" ht="15">
      <c r="A60" s="21" t="s">
        <v>113</v>
      </c>
      <c r="B60" s="22"/>
      <c r="C60" s="22"/>
      <c r="D60" s="22"/>
      <c r="E60" s="22"/>
      <c r="F60" s="22"/>
      <c r="G60" s="23">
        <f>'Gral y X Prog.'!E75</f>
        <v>87204641.35</v>
      </c>
      <c r="H60" s="22"/>
      <c r="I60" s="22"/>
    </row>
    <row r="61" spans="1:9" ht="27.75" customHeight="1">
      <c r="A61" s="405" t="s">
        <v>548</v>
      </c>
      <c r="B61" s="405"/>
      <c r="C61" s="405"/>
      <c r="D61" s="405"/>
      <c r="E61" s="405"/>
      <c r="F61" s="405"/>
      <c r="G61" s="405"/>
      <c r="H61" s="405"/>
      <c r="I61" s="405"/>
    </row>
    <row r="62" spans="1:6" ht="15">
      <c r="A62" s="25"/>
      <c r="B62" s="26"/>
      <c r="C62" s="27"/>
      <c r="D62" s="27"/>
      <c r="E62" s="27"/>
      <c r="F62" s="27"/>
    </row>
    <row r="63" spans="1:8" ht="15" customHeight="1">
      <c r="A63" s="25"/>
      <c r="B63" s="26"/>
      <c r="C63" s="388" t="s">
        <v>15</v>
      </c>
      <c r="D63" s="388"/>
      <c r="E63" s="388"/>
      <c r="F63" s="388"/>
      <c r="G63" s="388" t="s">
        <v>20</v>
      </c>
      <c r="H63" s="388"/>
    </row>
    <row r="64" spans="1:8" ht="30" customHeight="1">
      <c r="A64" s="25"/>
      <c r="B64" s="26"/>
      <c r="C64" s="411" t="s">
        <v>349</v>
      </c>
      <c r="D64" s="412"/>
      <c r="E64" s="412"/>
      <c r="F64" s="413"/>
      <c r="G64" s="409">
        <v>4000000</v>
      </c>
      <c r="H64" s="410"/>
    </row>
    <row r="65" spans="1:8" ht="33" customHeight="1">
      <c r="A65" s="25"/>
      <c r="B65" s="26"/>
      <c r="C65" s="402" t="s">
        <v>550</v>
      </c>
      <c r="D65" s="403"/>
      <c r="E65" s="403"/>
      <c r="F65" s="408"/>
      <c r="G65" s="421">
        <v>48383171.35</v>
      </c>
      <c r="H65" s="422"/>
    </row>
    <row r="66" spans="1:8" ht="33" customHeight="1">
      <c r="A66" s="25"/>
      <c r="B66" s="26"/>
      <c r="C66" s="411" t="s">
        <v>549</v>
      </c>
      <c r="D66" s="412"/>
      <c r="E66" s="412"/>
      <c r="F66" s="413"/>
      <c r="G66" s="409">
        <v>34821470</v>
      </c>
      <c r="H66" s="410"/>
    </row>
    <row r="67" spans="1:8" ht="15">
      <c r="A67" s="25"/>
      <c r="B67" s="26"/>
      <c r="C67" s="397" t="s">
        <v>51</v>
      </c>
      <c r="D67" s="398"/>
      <c r="E67" s="398"/>
      <c r="F67" s="399"/>
      <c r="G67" s="396">
        <f>SUM(G64:H66)</f>
        <v>87204641.35</v>
      </c>
      <c r="H67" s="388"/>
    </row>
    <row r="68" spans="1:6" ht="15">
      <c r="A68" s="25"/>
      <c r="B68" s="26"/>
      <c r="C68" s="27"/>
      <c r="D68" s="27"/>
      <c r="E68" s="27"/>
      <c r="F68" s="27"/>
    </row>
    <row r="69" spans="1:9" ht="15">
      <c r="A69" s="21" t="s">
        <v>136</v>
      </c>
      <c r="B69" s="22"/>
      <c r="C69" s="22"/>
      <c r="D69" s="22"/>
      <c r="E69" s="22"/>
      <c r="F69" s="22"/>
      <c r="G69" s="23">
        <f>+'Gral y X Prog.'!E83</f>
        <v>70553489.75</v>
      </c>
      <c r="H69" s="22"/>
      <c r="I69" s="22"/>
    </row>
    <row r="70" spans="1:6" ht="15">
      <c r="A70" s="25"/>
      <c r="B70" s="26"/>
      <c r="C70" s="27"/>
      <c r="D70" s="27"/>
      <c r="E70" s="27"/>
      <c r="F70" s="27"/>
    </row>
    <row r="71" spans="1:9" ht="14.25">
      <c r="A71" s="405" t="s">
        <v>551</v>
      </c>
      <c r="B71" s="405"/>
      <c r="C71" s="405"/>
      <c r="D71" s="405"/>
      <c r="E71" s="405"/>
      <c r="F71" s="405"/>
      <c r="G71" s="405"/>
      <c r="H71" s="405"/>
      <c r="I71" s="405"/>
    </row>
    <row r="72" spans="1:6" ht="15">
      <c r="A72" s="25"/>
      <c r="B72" s="26"/>
      <c r="C72" s="27"/>
      <c r="D72" s="27"/>
      <c r="E72" s="27"/>
      <c r="F72" s="27"/>
    </row>
    <row r="73" spans="1:6" ht="15">
      <c r="A73" s="25"/>
      <c r="B73" s="26"/>
      <c r="C73" s="27"/>
      <c r="D73" s="27"/>
      <c r="E73" s="27"/>
      <c r="F73" s="27"/>
    </row>
    <row r="74" spans="1:6" ht="15">
      <c r="A74" s="25"/>
      <c r="B74" s="26"/>
      <c r="C74" s="27"/>
      <c r="D74" s="27"/>
      <c r="E74" s="27"/>
      <c r="F74" s="27"/>
    </row>
    <row r="75" spans="1:6" ht="15">
      <c r="A75" s="25"/>
      <c r="B75" s="26"/>
      <c r="C75" s="27"/>
      <c r="D75" s="27"/>
      <c r="E75" s="27"/>
      <c r="F75" s="27"/>
    </row>
    <row r="76" spans="1:6" ht="15">
      <c r="A76" s="25"/>
      <c r="B76" s="26"/>
      <c r="C76" s="27"/>
      <c r="D76" s="27"/>
      <c r="E76" s="27"/>
      <c r="F76" s="27"/>
    </row>
    <row r="77" spans="1:6" ht="15">
      <c r="A77" s="25"/>
      <c r="B77" s="26"/>
      <c r="C77" s="27"/>
      <c r="D77" s="27"/>
      <c r="E77" s="27"/>
      <c r="F77" s="27"/>
    </row>
    <row r="78" spans="1:6" ht="15">
      <c r="A78" s="25"/>
      <c r="B78" s="26"/>
      <c r="C78" s="27"/>
      <c r="D78" s="27"/>
      <c r="E78" s="27"/>
      <c r="F78" s="27"/>
    </row>
    <row r="79" spans="1:6" ht="15">
      <c r="A79" s="25"/>
      <c r="B79" s="26"/>
      <c r="C79" s="27"/>
      <c r="D79" s="27"/>
      <c r="E79" s="27"/>
      <c r="F79" s="27"/>
    </row>
    <row r="80" spans="1:6" ht="15">
      <c r="A80" s="25"/>
      <c r="B80" s="26"/>
      <c r="C80" s="27"/>
      <c r="D80" s="27"/>
      <c r="E80" s="27"/>
      <c r="F80" s="27"/>
    </row>
    <row r="81" spans="1:8" ht="15">
      <c r="A81" s="25"/>
      <c r="B81" s="26"/>
      <c r="C81" s="388" t="s">
        <v>15</v>
      </c>
      <c r="D81" s="388"/>
      <c r="E81" s="388"/>
      <c r="F81" s="388"/>
      <c r="G81" s="388" t="s">
        <v>20</v>
      </c>
      <c r="H81" s="388"/>
    </row>
    <row r="82" spans="1:8" ht="23.25" customHeight="1">
      <c r="A82" s="25"/>
      <c r="B82" s="26"/>
      <c r="C82" s="402" t="s">
        <v>493</v>
      </c>
      <c r="D82" s="403"/>
      <c r="E82" s="403"/>
      <c r="F82" s="404"/>
      <c r="G82" s="400">
        <v>40000000</v>
      </c>
      <c r="H82" s="401"/>
    </row>
    <row r="83" spans="1:8" ht="21.75" customHeight="1">
      <c r="A83" s="25"/>
      <c r="B83" s="26"/>
      <c r="C83" s="402" t="s">
        <v>382</v>
      </c>
      <c r="D83" s="403"/>
      <c r="E83" s="403"/>
      <c r="F83" s="404"/>
      <c r="G83" s="400">
        <v>10000000</v>
      </c>
      <c r="H83" s="401"/>
    </row>
    <row r="84" spans="1:8" ht="33.75" customHeight="1">
      <c r="A84" s="25"/>
      <c r="B84" s="26"/>
      <c r="C84" s="402" t="s">
        <v>503</v>
      </c>
      <c r="D84" s="403"/>
      <c r="E84" s="403"/>
      <c r="F84" s="404"/>
      <c r="G84" s="400">
        <v>10163358.37</v>
      </c>
      <c r="H84" s="401"/>
    </row>
    <row r="85" spans="1:8" ht="33.75" customHeight="1">
      <c r="A85" s="25"/>
      <c r="B85" s="26"/>
      <c r="C85" s="402" t="s">
        <v>536</v>
      </c>
      <c r="D85" s="403"/>
      <c r="E85" s="403"/>
      <c r="F85" s="404"/>
      <c r="G85" s="400">
        <v>8250511.38</v>
      </c>
      <c r="H85" s="401"/>
    </row>
    <row r="86" spans="1:8" ht="33.75" customHeight="1">
      <c r="A86" s="25"/>
      <c r="B86" s="26"/>
      <c r="C86" s="402" t="s">
        <v>525</v>
      </c>
      <c r="D86" s="403"/>
      <c r="E86" s="403"/>
      <c r="F86" s="404"/>
      <c r="G86" s="400">
        <f>+(1926+1525)*620</f>
        <v>2139620</v>
      </c>
      <c r="H86" s="401"/>
    </row>
    <row r="87" spans="1:8" ht="15">
      <c r="A87" s="25"/>
      <c r="B87" s="26"/>
      <c r="C87" s="397" t="s">
        <v>51</v>
      </c>
      <c r="D87" s="398"/>
      <c r="E87" s="398"/>
      <c r="F87" s="399"/>
      <c r="G87" s="396">
        <f>SUM(G82:H86)</f>
        <v>70553489.75</v>
      </c>
      <c r="H87" s="388"/>
    </row>
    <row r="88" spans="1:6" ht="15">
      <c r="A88" s="25"/>
      <c r="B88" s="26"/>
      <c r="C88" s="27"/>
      <c r="D88" s="27"/>
      <c r="E88" s="27"/>
      <c r="F88" s="27"/>
    </row>
    <row r="89" spans="1:6" ht="15">
      <c r="A89" s="25"/>
      <c r="B89" s="26"/>
      <c r="C89" s="27"/>
      <c r="D89" s="27"/>
      <c r="E89" s="27"/>
      <c r="F89" s="27"/>
    </row>
    <row r="90" spans="1:6" ht="15">
      <c r="A90" s="25"/>
      <c r="B90" s="26"/>
      <c r="C90" s="27"/>
      <c r="D90" s="27"/>
      <c r="E90" s="27"/>
      <c r="F90" s="27"/>
    </row>
    <row r="91" spans="1:6" ht="15">
      <c r="A91" s="25"/>
      <c r="B91" s="26"/>
      <c r="C91" s="27"/>
      <c r="D91" s="27"/>
      <c r="E91" s="27"/>
      <c r="F91" s="27"/>
    </row>
    <row r="92" spans="1:6" ht="15">
      <c r="A92" s="25"/>
      <c r="B92" s="26"/>
      <c r="C92" s="27"/>
      <c r="D92" s="27"/>
      <c r="E92" s="27"/>
      <c r="F92" s="27"/>
    </row>
    <row r="93" spans="1:6" ht="15">
      <c r="A93" s="25"/>
      <c r="B93" s="26"/>
      <c r="C93" s="27"/>
      <c r="D93" s="27"/>
      <c r="E93" s="27"/>
      <c r="F93" s="27"/>
    </row>
    <row r="94" spans="1:6" ht="15">
      <c r="A94" s="25"/>
      <c r="B94" s="26"/>
      <c r="C94" s="27"/>
      <c r="D94" s="27"/>
      <c r="E94" s="27"/>
      <c r="F94" s="27"/>
    </row>
    <row r="95" spans="1:6" ht="15">
      <c r="A95" s="25"/>
      <c r="B95" s="26"/>
      <c r="C95" s="27"/>
      <c r="D95" s="27"/>
      <c r="E95" s="27"/>
      <c r="F95" s="27"/>
    </row>
    <row r="96" spans="1:6" ht="15">
      <c r="A96" s="25"/>
      <c r="B96" s="26"/>
      <c r="C96" s="27"/>
      <c r="D96" s="27"/>
      <c r="E96" s="27"/>
      <c r="F96" s="27"/>
    </row>
    <row r="97" spans="1:6" ht="15">
      <c r="A97" s="25"/>
      <c r="B97" s="26"/>
      <c r="C97" s="27"/>
      <c r="D97" s="27"/>
      <c r="E97" s="27"/>
      <c r="F97" s="27"/>
    </row>
    <row r="98" spans="1:6" ht="15">
      <c r="A98" s="25"/>
      <c r="B98" s="26"/>
      <c r="C98" s="27"/>
      <c r="D98" s="27"/>
      <c r="E98" s="27"/>
      <c r="F98" s="27"/>
    </row>
    <row r="99" spans="1:6" ht="15">
      <c r="A99" s="25"/>
      <c r="B99" s="26"/>
      <c r="C99" s="27"/>
      <c r="D99" s="27"/>
      <c r="E99" s="27"/>
      <c r="F99" s="27"/>
    </row>
    <row r="100" spans="1:6" ht="15">
      <c r="A100" s="25"/>
      <c r="B100" s="26"/>
      <c r="C100" s="27"/>
      <c r="D100" s="27"/>
      <c r="E100" s="27"/>
      <c r="F100" s="27"/>
    </row>
    <row r="101" spans="1:6" ht="15">
      <c r="A101" s="25"/>
      <c r="B101" s="26"/>
      <c r="C101" s="27"/>
      <c r="D101" s="27"/>
      <c r="E101" s="27"/>
      <c r="F101" s="27"/>
    </row>
    <row r="102" spans="1:6" ht="15">
      <c r="A102" s="25"/>
      <c r="B102" s="26"/>
      <c r="C102" s="27"/>
      <c r="D102" s="27"/>
      <c r="E102" s="27"/>
      <c r="F102" s="27"/>
    </row>
    <row r="103" spans="1:6" ht="15">
      <c r="A103" s="25"/>
      <c r="B103" s="26"/>
      <c r="C103" s="27"/>
      <c r="D103" s="27"/>
      <c r="E103" s="27"/>
      <c r="F103" s="27"/>
    </row>
    <row r="104" spans="1:6" ht="15">
      <c r="A104" s="25"/>
      <c r="B104" s="26"/>
      <c r="C104" s="27"/>
      <c r="D104" s="27"/>
      <c r="E104" s="27"/>
      <c r="F104" s="27"/>
    </row>
    <row r="105" spans="1:6" ht="15">
      <c r="A105" s="25"/>
      <c r="B105" s="26"/>
      <c r="C105" s="27"/>
      <c r="D105" s="27"/>
      <c r="E105" s="27"/>
      <c r="F105" s="27"/>
    </row>
    <row r="106" spans="1:6" ht="15">
      <c r="A106" s="25"/>
      <c r="B106" s="26"/>
      <c r="C106" s="27"/>
      <c r="D106" s="27"/>
      <c r="E106" s="27"/>
      <c r="F106" s="27"/>
    </row>
    <row r="107" spans="1:6" ht="15">
      <c r="A107" s="25"/>
      <c r="B107" s="26"/>
      <c r="C107" s="27"/>
      <c r="D107" s="27"/>
      <c r="E107" s="27"/>
      <c r="F107" s="27"/>
    </row>
    <row r="108" spans="1:6" ht="15">
      <c r="A108" s="25"/>
      <c r="B108" s="26"/>
      <c r="C108" s="27"/>
      <c r="D108" s="27"/>
      <c r="E108" s="27"/>
      <c r="F108" s="27"/>
    </row>
    <row r="109" spans="1:6" ht="15">
      <c r="A109" s="25"/>
      <c r="B109" s="26"/>
      <c r="C109" s="27"/>
      <c r="D109" s="27"/>
      <c r="E109" s="27"/>
      <c r="F109" s="27"/>
    </row>
    <row r="110" spans="1:6" ht="15">
      <c r="A110" s="25"/>
      <c r="B110" s="26"/>
      <c r="C110" s="27"/>
      <c r="D110" s="27"/>
      <c r="E110" s="27"/>
      <c r="F110" s="27"/>
    </row>
    <row r="111" spans="1:6" ht="15">
      <c r="A111" s="25"/>
      <c r="B111" s="26"/>
      <c r="C111" s="27"/>
      <c r="D111" s="27"/>
      <c r="E111" s="27"/>
      <c r="F111" s="27"/>
    </row>
    <row r="112" spans="1:6" ht="15">
      <c r="A112" s="25"/>
      <c r="B112" s="26"/>
      <c r="C112" s="27"/>
      <c r="D112" s="27"/>
      <c r="E112" s="27"/>
      <c r="F112" s="27"/>
    </row>
    <row r="113" spans="1:6" ht="15">
      <c r="A113" s="25"/>
      <c r="B113" s="26"/>
      <c r="C113" s="27"/>
      <c r="D113" s="27"/>
      <c r="E113" s="27"/>
      <c r="F113" s="27"/>
    </row>
    <row r="114" spans="1:6" ht="15">
      <c r="A114" s="25"/>
      <c r="B114" s="26"/>
      <c r="C114" s="27"/>
      <c r="D114" s="27"/>
      <c r="E114" s="27"/>
      <c r="F114" s="27"/>
    </row>
    <row r="115" spans="1:6" ht="15">
      <c r="A115" s="25"/>
      <c r="B115" s="26"/>
      <c r="C115" s="27"/>
      <c r="D115" s="27"/>
      <c r="E115" s="27"/>
      <c r="F115" s="27"/>
    </row>
    <row r="116" spans="1:6" ht="15">
      <c r="A116" s="25"/>
      <c r="B116" s="26"/>
      <c r="C116" s="27"/>
      <c r="D116" s="27"/>
      <c r="E116" s="27"/>
      <c r="F116" s="27"/>
    </row>
    <row r="117" spans="1:6" ht="15">
      <c r="A117" s="25"/>
      <c r="B117" s="26"/>
      <c r="C117" s="27"/>
      <c r="D117" s="27"/>
      <c r="E117" s="27"/>
      <c r="F117" s="27"/>
    </row>
    <row r="118" spans="1:6" ht="15">
      <c r="A118" s="25"/>
      <c r="B118" s="26"/>
      <c r="C118" s="27"/>
      <c r="D118" s="27"/>
      <c r="E118" s="27"/>
      <c r="F118" s="27"/>
    </row>
    <row r="119" spans="1:6" ht="15">
      <c r="A119" s="25"/>
      <c r="B119" s="26"/>
      <c r="C119" s="27"/>
      <c r="D119" s="27"/>
      <c r="E119" s="27"/>
      <c r="F119" s="27"/>
    </row>
    <row r="120" spans="1:6" ht="15">
      <c r="A120" s="25"/>
      <c r="B120" s="26"/>
      <c r="C120" s="27"/>
      <c r="D120" s="27"/>
      <c r="E120" s="27"/>
      <c r="F120" s="27"/>
    </row>
    <row r="121" spans="1:6" ht="15">
      <c r="A121" s="25"/>
      <c r="B121" s="26"/>
      <c r="C121" s="27"/>
      <c r="D121" s="27"/>
      <c r="E121" s="27"/>
      <c r="F121" s="27"/>
    </row>
    <row r="122" spans="1:6" ht="15">
      <c r="A122" s="25"/>
      <c r="B122" s="26"/>
      <c r="C122" s="27"/>
      <c r="D122" s="27"/>
      <c r="E122" s="27"/>
      <c r="F122" s="27"/>
    </row>
    <row r="123" spans="1:6" ht="15">
      <c r="A123" s="25"/>
      <c r="B123" s="26"/>
      <c r="C123" s="27"/>
      <c r="D123" s="27"/>
      <c r="E123" s="27"/>
      <c r="F123" s="27"/>
    </row>
    <row r="124" spans="1:6" ht="15">
      <c r="A124" s="25"/>
      <c r="B124" s="26"/>
      <c r="C124" s="27"/>
      <c r="D124" s="27"/>
      <c r="E124" s="27"/>
      <c r="F124" s="27"/>
    </row>
    <row r="125" spans="1:6" ht="15">
      <c r="A125" s="25"/>
      <c r="B125" s="26"/>
      <c r="C125" s="27"/>
      <c r="D125" s="27"/>
      <c r="E125" s="27"/>
      <c r="F125" s="27"/>
    </row>
    <row r="126" spans="1:6" ht="15">
      <c r="A126" s="25"/>
      <c r="B126" s="26"/>
      <c r="C126" s="27"/>
      <c r="D126" s="27"/>
      <c r="E126" s="27"/>
      <c r="F126" s="27"/>
    </row>
    <row r="127" spans="1:6" ht="15">
      <c r="A127" s="25"/>
      <c r="B127" s="26"/>
      <c r="C127" s="27"/>
      <c r="D127" s="27"/>
      <c r="E127" s="27"/>
      <c r="F127" s="27"/>
    </row>
    <row r="128" spans="1:6" ht="15">
      <c r="A128" s="25"/>
      <c r="B128" s="26"/>
      <c r="C128" s="27"/>
      <c r="D128" s="27"/>
      <c r="E128" s="27"/>
      <c r="F128" s="27"/>
    </row>
    <row r="129" spans="1:6" ht="15">
      <c r="A129" s="25"/>
      <c r="B129" s="26"/>
      <c r="C129" s="27"/>
      <c r="D129" s="27"/>
      <c r="E129" s="27"/>
      <c r="F129" s="27"/>
    </row>
    <row r="130" spans="1:6" ht="15">
      <c r="A130" s="25"/>
      <c r="B130" s="26"/>
      <c r="C130" s="27"/>
      <c r="D130" s="27"/>
      <c r="E130" s="27"/>
      <c r="F130" s="27"/>
    </row>
    <row r="131" spans="1:9" ht="16.5" customHeight="1">
      <c r="A131" s="407" t="s">
        <v>24</v>
      </c>
      <c r="B131" s="407"/>
      <c r="C131" s="407"/>
      <c r="D131" s="407"/>
      <c r="E131" s="407"/>
      <c r="F131" s="407"/>
      <c r="G131" s="407"/>
      <c r="H131" s="407"/>
      <c r="I131" s="407"/>
    </row>
    <row r="132" spans="1:10" ht="15">
      <c r="A132" s="28"/>
      <c r="B132" s="28"/>
      <c r="C132" s="28"/>
      <c r="D132" s="28"/>
      <c r="J132" s="288"/>
    </row>
    <row r="133" spans="1:10" ht="15">
      <c r="A133" s="21" t="s">
        <v>273</v>
      </c>
      <c r="B133" s="22"/>
      <c r="C133" s="22"/>
      <c r="D133" s="22"/>
      <c r="E133" s="24"/>
      <c r="F133" s="22"/>
      <c r="G133" s="24">
        <f>+'Gral y X Prog.'!G27</f>
        <v>9783000</v>
      </c>
      <c r="H133" s="22"/>
      <c r="I133" s="22"/>
      <c r="J133" s="288"/>
    </row>
    <row r="134" spans="1:10" ht="32.25" customHeight="1">
      <c r="A134" s="406" t="s">
        <v>552</v>
      </c>
      <c r="B134" s="406"/>
      <c r="C134" s="406"/>
      <c r="D134" s="406"/>
      <c r="E134" s="406"/>
      <c r="F134" s="406"/>
      <c r="G134" s="406"/>
      <c r="H134" s="406"/>
      <c r="I134" s="406"/>
      <c r="J134" s="288"/>
    </row>
    <row r="135" spans="1:10" ht="21.75" customHeight="1">
      <c r="A135" s="322"/>
      <c r="B135" s="388" t="s">
        <v>15</v>
      </c>
      <c r="C135" s="388"/>
      <c r="D135" s="388"/>
      <c r="E135" s="388"/>
      <c r="F135" s="388" t="s">
        <v>20</v>
      </c>
      <c r="G135" s="388"/>
      <c r="H135" s="322"/>
      <c r="I135" s="322"/>
      <c r="J135" s="288"/>
    </row>
    <row r="136" spans="1:10" ht="40.5" customHeight="1">
      <c r="A136" s="322"/>
      <c r="B136" s="402" t="s">
        <v>303</v>
      </c>
      <c r="C136" s="403"/>
      <c r="D136" s="403"/>
      <c r="E136" s="404"/>
      <c r="F136" s="391">
        <v>8100000</v>
      </c>
      <c r="G136" s="392"/>
      <c r="H136" s="322"/>
      <c r="I136" s="322"/>
      <c r="J136" s="288"/>
    </row>
    <row r="137" spans="1:10" ht="37.5" customHeight="1">
      <c r="A137" s="322"/>
      <c r="B137" s="402" t="s">
        <v>358</v>
      </c>
      <c r="C137" s="403"/>
      <c r="D137" s="403"/>
      <c r="E137" s="404"/>
      <c r="F137" s="391">
        <v>1683000</v>
      </c>
      <c r="G137" s="392"/>
      <c r="H137" s="322"/>
      <c r="I137" s="322"/>
      <c r="J137" s="288"/>
    </row>
    <row r="138" spans="1:10" ht="21.75" customHeight="1">
      <c r="A138" s="322"/>
      <c r="B138" s="322"/>
      <c r="C138" s="322"/>
      <c r="D138" s="322"/>
      <c r="E138" s="322"/>
      <c r="F138" s="322"/>
      <c r="G138" s="322"/>
      <c r="H138" s="322"/>
      <c r="I138" s="322"/>
      <c r="J138" s="288"/>
    </row>
    <row r="139" spans="1:9" ht="15">
      <c r="A139" s="21" t="s">
        <v>25</v>
      </c>
      <c r="B139" s="22"/>
      <c r="C139" s="22"/>
      <c r="D139" s="22"/>
      <c r="E139" s="24"/>
      <c r="F139" s="22"/>
      <c r="G139" s="24">
        <f>'Gral y X Prog.'!G61</f>
        <v>507246298.71000004</v>
      </c>
      <c r="H139" s="22"/>
      <c r="I139" s="22"/>
    </row>
    <row r="140" spans="1:9" ht="30.75" customHeight="1">
      <c r="A140" s="405" t="s">
        <v>571</v>
      </c>
      <c r="B140" s="405"/>
      <c r="C140" s="405"/>
      <c r="D140" s="405"/>
      <c r="E140" s="405"/>
      <c r="F140" s="405"/>
      <c r="G140" s="405"/>
      <c r="H140" s="405"/>
      <c r="I140" s="405"/>
    </row>
    <row r="141" spans="1:9" ht="15" customHeight="1">
      <c r="A141" s="18"/>
      <c r="B141" s="18"/>
      <c r="C141" s="18"/>
      <c r="D141" s="18"/>
      <c r="E141" s="18"/>
      <c r="F141" s="18"/>
      <c r="G141" s="18"/>
      <c r="H141" s="18"/>
      <c r="I141" s="56"/>
    </row>
    <row r="142" spans="1:9" ht="15">
      <c r="A142" s="29" t="s">
        <v>132</v>
      </c>
      <c r="I142" s="32"/>
    </row>
    <row r="143" ht="15">
      <c r="A143" s="29"/>
    </row>
    <row r="144" spans="2:11" ht="15">
      <c r="B144" s="388" t="s">
        <v>15</v>
      </c>
      <c r="C144" s="388"/>
      <c r="D144" s="388"/>
      <c r="E144" s="388"/>
      <c r="F144" s="388" t="s">
        <v>20</v>
      </c>
      <c r="G144" s="388"/>
      <c r="J144" s="289"/>
      <c r="K144" s="32"/>
    </row>
    <row r="145" spans="1:10" s="31" customFormat="1" ht="37.5" customHeight="1">
      <c r="A145" s="30"/>
      <c r="B145" s="393" t="s">
        <v>375</v>
      </c>
      <c r="C145" s="394"/>
      <c r="D145" s="394"/>
      <c r="E145" s="395"/>
      <c r="F145" s="391">
        <v>2100000</v>
      </c>
      <c r="G145" s="392"/>
      <c r="I145" s="290"/>
      <c r="J145" s="37"/>
    </row>
    <row r="146" spans="1:10" s="31" customFormat="1" ht="18" customHeight="1">
      <c r="A146" s="30"/>
      <c r="B146" s="393" t="s">
        <v>238</v>
      </c>
      <c r="C146" s="394"/>
      <c r="D146" s="394"/>
      <c r="E146" s="395"/>
      <c r="F146" s="391">
        <v>728117.5</v>
      </c>
      <c r="G146" s="392"/>
      <c r="J146" s="37"/>
    </row>
    <row r="147" spans="1:10" s="31" customFormat="1" ht="30.75" customHeight="1">
      <c r="A147" s="30"/>
      <c r="B147" s="393" t="s">
        <v>294</v>
      </c>
      <c r="C147" s="394"/>
      <c r="D147" s="394"/>
      <c r="E147" s="395"/>
      <c r="F147" s="391">
        <v>19125000</v>
      </c>
      <c r="G147" s="392"/>
      <c r="J147" s="37"/>
    </row>
    <row r="148" spans="1:10" s="31" customFormat="1" ht="28.5" customHeight="1">
      <c r="A148" s="30"/>
      <c r="B148" s="393" t="s">
        <v>330</v>
      </c>
      <c r="C148" s="394"/>
      <c r="D148" s="394"/>
      <c r="E148" s="395"/>
      <c r="F148" s="391">
        <v>52977587.74</v>
      </c>
      <c r="G148" s="392"/>
      <c r="J148" s="37"/>
    </row>
    <row r="149" spans="1:10" s="31" customFormat="1" ht="18" customHeight="1">
      <c r="A149" s="30"/>
      <c r="B149" s="393" t="s">
        <v>289</v>
      </c>
      <c r="C149" s="394"/>
      <c r="D149" s="394"/>
      <c r="E149" s="395"/>
      <c r="F149" s="391">
        <v>24397653.5</v>
      </c>
      <c r="G149" s="392"/>
      <c r="J149" s="37"/>
    </row>
    <row r="150" spans="1:10" s="31" customFormat="1" ht="18" customHeight="1">
      <c r="A150" s="30"/>
      <c r="B150" s="393" t="s">
        <v>296</v>
      </c>
      <c r="C150" s="394"/>
      <c r="D150" s="394"/>
      <c r="E150" s="395"/>
      <c r="F150" s="391">
        <v>11710155.2</v>
      </c>
      <c r="G150" s="392"/>
      <c r="J150" s="37"/>
    </row>
    <row r="151" spans="1:10" s="31" customFormat="1" ht="30.75" customHeight="1">
      <c r="A151" s="30"/>
      <c r="B151" s="393" t="s">
        <v>473</v>
      </c>
      <c r="C151" s="394"/>
      <c r="D151" s="394"/>
      <c r="E151" s="395"/>
      <c r="F151" s="391">
        <v>150000000</v>
      </c>
      <c r="G151" s="392"/>
      <c r="I151" s="37"/>
      <c r="J151" s="37"/>
    </row>
    <row r="152" spans="2:10" ht="15">
      <c r="B152" s="397" t="s">
        <v>35</v>
      </c>
      <c r="C152" s="398"/>
      <c r="D152" s="398"/>
      <c r="E152" s="399"/>
      <c r="F152" s="416">
        <f>SUM(F145:F151)</f>
        <v>261038513.94</v>
      </c>
      <c r="G152" s="399"/>
      <c r="J152" s="323"/>
    </row>
    <row r="153" spans="9:11" ht="14.25">
      <c r="I153" s="32"/>
      <c r="J153" s="32"/>
      <c r="K153" s="32"/>
    </row>
    <row r="154" spans="9:11" ht="14.25">
      <c r="I154" s="32"/>
      <c r="J154" s="32"/>
      <c r="K154" s="32"/>
    </row>
    <row r="155" spans="1:10" ht="15">
      <c r="A155" s="29" t="s">
        <v>133</v>
      </c>
      <c r="J155" s="43"/>
    </row>
    <row r="156" ht="15">
      <c r="A156" s="29"/>
    </row>
    <row r="157" spans="2:7" ht="15">
      <c r="B157" s="388" t="s">
        <v>15</v>
      </c>
      <c r="C157" s="388"/>
      <c r="D157" s="388"/>
      <c r="E157" s="388"/>
      <c r="F157" s="388" t="s">
        <v>20</v>
      </c>
      <c r="G157" s="388"/>
    </row>
    <row r="158" spans="2:7" ht="21" customHeight="1">
      <c r="B158" s="393" t="s">
        <v>497</v>
      </c>
      <c r="C158" s="394"/>
      <c r="D158" s="394"/>
      <c r="E158" s="395"/>
      <c r="F158" s="391">
        <v>25000000</v>
      </c>
      <c r="G158" s="392"/>
    </row>
    <row r="159" spans="2:7" ht="15.75" customHeight="1">
      <c r="B159" s="393" t="s">
        <v>245</v>
      </c>
      <c r="C159" s="394">
        <v>8460853.94</v>
      </c>
      <c r="D159" s="394" t="s">
        <v>245</v>
      </c>
      <c r="E159" s="395">
        <v>8460853.94</v>
      </c>
      <c r="F159" s="391">
        <v>8460853.94</v>
      </c>
      <c r="G159" s="392"/>
    </row>
    <row r="160" spans="2:7" ht="15" customHeight="1">
      <c r="B160" s="397" t="s">
        <v>35</v>
      </c>
      <c r="C160" s="398"/>
      <c r="D160" s="398"/>
      <c r="E160" s="399"/>
      <c r="F160" s="416">
        <f>SUM(F158:F159)</f>
        <v>33460853.939999998</v>
      </c>
      <c r="G160" s="399"/>
    </row>
    <row r="161" spans="2:7" ht="15" customHeight="1">
      <c r="B161" s="54"/>
      <c r="C161" s="54"/>
      <c r="D161" s="54"/>
      <c r="E161" s="54"/>
      <c r="F161" s="55"/>
      <c r="G161" s="55"/>
    </row>
    <row r="162" spans="1:7" ht="15" customHeight="1">
      <c r="A162" s="29" t="s">
        <v>554</v>
      </c>
      <c r="B162" s="54"/>
      <c r="C162" s="54"/>
      <c r="D162" s="54"/>
      <c r="E162" s="54"/>
      <c r="F162" s="55"/>
      <c r="G162" s="55"/>
    </row>
    <row r="163" spans="2:7" ht="15" customHeight="1">
      <c r="B163" s="54"/>
      <c r="C163" s="54"/>
      <c r="D163" s="54"/>
      <c r="E163" s="54"/>
      <c r="F163" s="55"/>
      <c r="G163" s="55"/>
    </row>
    <row r="164" spans="2:7" ht="15" customHeight="1">
      <c r="B164" s="388" t="s">
        <v>15</v>
      </c>
      <c r="C164" s="388"/>
      <c r="D164" s="388"/>
      <c r="E164" s="388"/>
      <c r="F164" s="388" t="s">
        <v>20</v>
      </c>
      <c r="G164" s="388"/>
    </row>
    <row r="165" spans="2:7" ht="15" customHeight="1">
      <c r="B165" s="393" t="s">
        <v>300</v>
      </c>
      <c r="C165" s="394"/>
      <c r="D165" s="394"/>
      <c r="E165" s="395"/>
      <c r="F165" s="391">
        <v>75000000</v>
      </c>
      <c r="G165" s="392"/>
    </row>
    <row r="166" spans="2:7" ht="15" customHeight="1">
      <c r="B166" s="397" t="s">
        <v>35</v>
      </c>
      <c r="C166" s="398"/>
      <c r="D166" s="398"/>
      <c r="E166" s="399"/>
      <c r="F166" s="416">
        <f>SUM(F165:F165)</f>
        <v>75000000</v>
      </c>
      <c r="G166" s="399"/>
    </row>
    <row r="167" spans="2:7" ht="15" customHeight="1">
      <c r="B167" s="54"/>
      <c r="C167" s="54"/>
      <c r="D167" s="54"/>
      <c r="E167" s="54"/>
      <c r="F167" s="55"/>
      <c r="G167" s="55"/>
    </row>
    <row r="168" spans="2:7" ht="15" customHeight="1">
      <c r="B168" s="54"/>
      <c r="C168" s="54"/>
      <c r="D168" s="54"/>
      <c r="E168" s="54"/>
      <c r="F168" s="55"/>
      <c r="G168" s="55"/>
    </row>
    <row r="169" spans="2:7" ht="15" customHeight="1">
      <c r="B169" s="54"/>
      <c r="C169" s="54"/>
      <c r="D169" s="54"/>
      <c r="E169" s="54"/>
      <c r="F169" s="55"/>
      <c r="G169" s="55"/>
    </row>
    <row r="170" spans="2:7" ht="15" customHeight="1">
      <c r="B170" s="54"/>
      <c r="C170" s="54"/>
      <c r="D170" s="54"/>
      <c r="E170" s="54"/>
      <c r="F170" s="55"/>
      <c r="G170" s="55"/>
    </row>
    <row r="171" spans="2:7" ht="15" customHeight="1">
      <c r="B171" s="54"/>
      <c r="C171" s="54"/>
      <c r="D171" s="54"/>
      <c r="E171" s="54"/>
      <c r="F171" s="55"/>
      <c r="G171" s="55"/>
    </row>
    <row r="172" spans="2:7" ht="15" customHeight="1">
      <c r="B172" s="54"/>
      <c r="C172" s="54"/>
      <c r="D172" s="54"/>
      <c r="E172" s="54"/>
      <c r="F172" s="55"/>
      <c r="G172" s="55"/>
    </row>
    <row r="173" spans="2:7" ht="15" customHeight="1">
      <c r="B173" s="54"/>
      <c r="C173" s="54"/>
      <c r="D173" s="54"/>
      <c r="E173" s="54"/>
      <c r="F173" s="55"/>
      <c r="G173" s="55"/>
    </row>
    <row r="174" spans="1:7" s="27" customFormat="1" ht="15">
      <c r="A174" s="29" t="s">
        <v>209</v>
      </c>
      <c r="B174" s="38"/>
      <c r="C174" s="38"/>
      <c r="D174" s="38"/>
      <c r="E174" s="38"/>
      <c r="F174" s="39"/>
      <c r="G174" s="39"/>
    </row>
    <row r="175" spans="1:7" s="27" customFormat="1" ht="15">
      <c r="A175" s="29"/>
      <c r="B175" s="38"/>
      <c r="C175" s="38"/>
      <c r="D175" s="38"/>
      <c r="E175" s="38"/>
      <c r="F175" s="39"/>
      <c r="G175" s="39"/>
    </row>
    <row r="176" spans="2:7" s="27" customFormat="1" ht="15">
      <c r="B176" s="388" t="s">
        <v>15</v>
      </c>
      <c r="C176" s="388"/>
      <c r="D176" s="388"/>
      <c r="E176" s="388"/>
      <c r="F176" s="388" t="s">
        <v>20</v>
      </c>
      <c r="G176" s="388"/>
    </row>
    <row r="177" spans="2:7" s="27" customFormat="1" ht="33.75" customHeight="1">
      <c r="B177" s="393" t="s">
        <v>291</v>
      </c>
      <c r="C177" s="394"/>
      <c r="D177" s="394"/>
      <c r="E177" s="395"/>
      <c r="F177" s="391">
        <v>16072646.55</v>
      </c>
      <c r="G177" s="392"/>
    </row>
    <row r="178" spans="2:7" s="27" customFormat="1" ht="33.75" customHeight="1">
      <c r="B178" s="393" t="s">
        <v>293</v>
      </c>
      <c r="C178" s="394"/>
      <c r="D178" s="394"/>
      <c r="E178" s="395"/>
      <c r="F178" s="391">
        <v>40000000</v>
      </c>
      <c r="G178" s="392"/>
    </row>
    <row r="179" spans="2:7" s="27" customFormat="1" ht="33.75" customHeight="1">
      <c r="B179" s="393" t="s">
        <v>372</v>
      </c>
      <c r="C179" s="394"/>
      <c r="D179" s="394"/>
      <c r="E179" s="395"/>
      <c r="F179" s="391">
        <v>20000000</v>
      </c>
      <c r="G179" s="392"/>
    </row>
    <row r="180" spans="2:7" s="27" customFormat="1" ht="33.75" customHeight="1">
      <c r="B180" s="393" t="s">
        <v>504</v>
      </c>
      <c r="C180" s="394"/>
      <c r="D180" s="394"/>
      <c r="E180" s="395"/>
      <c r="F180" s="391">
        <v>15000000</v>
      </c>
      <c r="G180" s="392"/>
    </row>
    <row r="181" spans="2:7" s="27" customFormat="1" ht="15">
      <c r="B181" s="397" t="s">
        <v>35</v>
      </c>
      <c r="C181" s="398"/>
      <c r="D181" s="398"/>
      <c r="E181" s="399"/>
      <c r="F181" s="396">
        <f>SUM(F177:F180)</f>
        <v>91072646.55</v>
      </c>
      <c r="G181" s="388"/>
    </row>
    <row r="182" spans="2:7" s="27" customFormat="1" ht="15">
      <c r="B182" s="38"/>
      <c r="C182" s="38"/>
      <c r="D182" s="38"/>
      <c r="E182" s="38"/>
      <c r="F182" s="39"/>
      <c r="G182" s="39"/>
    </row>
    <row r="183" spans="1:7" s="27" customFormat="1" ht="15">
      <c r="A183" s="25" t="s">
        <v>196</v>
      </c>
      <c r="B183" s="38"/>
      <c r="C183" s="38"/>
      <c r="D183" s="38"/>
      <c r="E183" s="38"/>
      <c r="F183" s="39"/>
      <c r="G183" s="39"/>
    </row>
    <row r="184" spans="2:7" s="27" customFormat="1" ht="15">
      <c r="B184" s="38"/>
      <c r="C184" s="38"/>
      <c r="D184" s="38"/>
      <c r="E184" s="38"/>
      <c r="F184" s="39"/>
      <c r="G184" s="39"/>
    </row>
    <row r="185" spans="2:7" s="27" customFormat="1" ht="15">
      <c r="B185" s="388" t="s">
        <v>15</v>
      </c>
      <c r="C185" s="388"/>
      <c r="D185" s="388"/>
      <c r="E185" s="388"/>
      <c r="F185" s="388" t="s">
        <v>20</v>
      </c>
      <c r="G185" s="388"/>
    </row>
    <row r="186" spans="2:7" s="27" customFormat="1" ht="27.75" customHeight="1">
      <c r="B186" s="393" t="s">
        <v>471</v>
      </c>
      <c r="C186" s="394"/>
      <c r="D186" s="394"/>
      <c r="E186" s="395"/>
      <c r="F186" s="391">
        <v>18500000</v>
      </c>
      <c r="G186" s="392"/>
    </row>
    <row r="187" spans="2:7" s="27" customFormat="1" ht="27.75" customHeight="1">
      <c r="B187" s="393" t="s">
        <v>304</v>
      </c>
      <c r="C187" s="394"/>
      <c r="D187" s="394"/>
      <c r="E187" s="395"/>
      <c r="F187" s="391">
        <v>28174264.6</v>
      </c>
      <c r="G187" s="392"/>
    </row>
    <row r="188" spans="2:7" s="27" customFormat="1" ht="15">
      <c r="B188" s="388" t="s">
        <v>35</v>
      </c>
      <c r="C188" s="388"/>
      <c r="D188" s="388"/>
      <c r="E188" s="388"/>
      <c r="F188" s="389">
        <f>SUM(F186:F187)</f>
        <v>46674264.6</v>
      </c>
      <c r="G188" s="390"/>
    </row>
    <row r="189" spans="2:7" s="27" customFormat="1" ht="15">
      <c r="B189" s="38"/>
      <c r="C189" s="38"/>
      <c r="D189" s="38"/>
      <c r="E189" s="38"/>
      <c r="F189" s="39"/>
      <c r="G189" s="39"/>
    </row>
    <row r="190" spans="1:9" s="31" customFormat="1" ht="21.75" customHeight="1">
      <c r="A190" s="62" t="s">
        <v>113</v>
      </c>
      <c r="B190" s="63"/>
      <c r="C190" s="63"/>
      <c r="D190" s="63"/>
      <c r="E190" s="63"/>
      <c r="F190" s="63"/>
      <c r="G190" s="64">
        <f>+'Gral y X Prog.'!G75</f>
        <v>2433784.08</v>
      </c>
      <c r="H190" s="63"/>
      <c r="I190" s="63"/>
    </row>
    <row r="191" spans="2:7" s="27" customFormat="1" ht="15">
      <c r="B191" s="38"/>
      <c r="C191" s="38"/>
      <c r="D191" s="38"/>
      <c r="E191" s="38"/>
      <c r="F191" s="39"/>
      <c r="G191" s="39"/>
    </row>
    <row r="192" spans="2:7" s="27" customFormat="1" ht="15">
      <c r="B192" s="388" t="s">
        <v>15</v>
      </c>
      <c r="C192" s="388"/>
      <c r="D192" s="388"/>
      <c r="E192" s="388"/>
      <c r="F192" s="388" t="s">
        <v>20</v>
      </c>
      <c r="G192" s="388"/>
    </row>
    <row r="193" spans="2:7" s="27" customFormat="1" ht="14.25">
      <c r="B193" s="393" t="s">
        <v>198</v>
      </c>
      <c r="C193" s="394"/>
      <c r="D193" s="394"/>
      <c r="E193" s="395"/>
      <c r="F193" s="391">
        <v>2121548.73</v>
      </c>
      <c r="G193" s="392"/>
    </row>
    <row r="194" spans="2:7" s="27" customFormat="1" ht="14.25">
      <c r="B194" s="393" t="s">
        <v>197</v>
      </c>
      <c r="C194" s="394"/>
      <c r="D194" s="394"/>
      <c r="E194" s="395"/>
      <c r="F194" s="391">
        <v>312235.35</v>
      </c>
      <c r="G194" s="392"/>
    </row>
    <row r="195" spans="2:7" s="27" customFormat="1" ht="15">
      <c r="B195" s="388" t="s">
        <v>35</v>
      </c>
      <c r="C195" s="388"/>
      <c r="D195" s="388"/>
      <c r="E195" s="388"/>
      <c r="F195" s="389">
        <f>SUM(F193:F194)</f>
        <v>2433784.08</v>
      </c>
      <c r="G195" s="390"/>
    </row>
    <row r="196" spans="2:7" s="27" customFormat="1" ht="15">
      <c r="B196" s="38"/>
      <c r="C196" s="38"/>
      <c r="D196" s="38"/>
      <c r="E196" s="38"/>
      <c r="F196" s="39"/>
      <c r="G196" s="39"/>
    </row>
    <row r="197" spans="1:9" s="31" customFormat="1" ht="21.75" customHeight="1">
      <c r="A197" s="62" t="s">
        <v>136</v>
      </c>
      <c r="B197" s="63"/>
      <c r="C197" s="63"/>
      <c r="D197" s="63"/>
      <c r="E197" s="63"/>
      <c r="F197" s="63"/>
      <c r="G197" s="64">
        <f>+'Gral y X Prog.'!G83</f>
        <v>106163854.2</v>
      </c>
      <c r="H197" s="63"/>
      <c r="I197" s="63"/>
    </row>
    <row r="198" spans="2:7" s="27" customFormat="1" ht="15">
      <c r="B198" s="38"/>
      <c r="C198" s="38"/>
      <c r="D198" s="38"/>
      <c r="E198" s="38"/>
      <c r="F198" s="39"/>
      <c r="G198" s="39"/>
    </row>
    <row r="199" spans="2:7" s="27" customFormat="1" ht="15" customHeight="1">
      <c r="B199" s="388" t="s">
        <v>15</v>
      </c>
      <c r="C199" s="388"/>
      <c r="D199" s="388"/>
      <c r="E199" s="388"/>
      <c r="F199" s="388" t="s">
        <v>20</v>
      </c>
      <c r="G199" s="388"/>
    </row>
    <row r="200" spans="2:7" s="27" customFormat="1" ht="32.25" customHeight="1">
      <c r="B200" s="393" t="s">
        <v>373</v>
      </c>
      <c r="C200" s="394"/>
      <c r="D200" s="394"/>
      <c r="E200" s="395"/>
      <c r="F200" s="391">
        <v>17328600</v>
      </c>
      <c r="G200" s="392"/>
    </row>
    <row r="201" spans="2:7" s="27" customFormat="1" ht="32.25" customHeight="1">
      <c r="B201" s="393" t="s">
        <v>347</v>
      </c>
      <c r="C201" s="394"/>
      <c r="D201" s="394"/>
      <c r="E201" s="395"/>
      <c r="F201" s="391">
        <v>48115254.2</v>
      </c>
      <c r="G201" s="392"/>
    </row>
    <row r="202" spans="2:7" s="27" customFormat="1" ht="32.25" customHeight="1">
      <c r="B202" s="393" t="s">
        <v>355</v>
      </c>
      <c r="C202" s="394"/>
      <c r="D202" s="394"/>
      <c r="E202" s="395"/>
      <c r="F202" s="391">
        <v>15000000</v>
      </c>
      <c r="G202" s="392"/>
    </row>
    <row r="203" spans="2:7" s="27" customFormat="1" ht="32.25" customHeight="1">
      <c r="B203" s="393" t="s">
        <v>498</v>
      </c>
      <c r="C203" s="394"/>
      <c r="D203" s="394"/>
      <c r="E203" s="395"/>
      <c r="F203" s="391">
        <v>22000000</v>
      </c>
      <c r="G203" s="392"/>
    </row>
    <row r="204" spans="2:7" s="27" customFormat="1" ht="32.25" customHeight="1">
      <c r="B204" s="393" t="s">
        <v>553</v>
      </c>
      <c r="C204" s="394"/>
      <c r="D204" s="394"/>
      <c r="E204" s="395"/>
      <c r="F204" s="391">
        <f>6000*620</f>
        <v>3720000</v>
      </c>
      <c r="G204" s="392"/>
    </row>
    <row r="205" spans="2:7" s="27" customFormat="1" ht="15">
      <c r="B205" s="388" t="s">
        <v>35</v>
      </c>
      <c r="C205" s="388"/>
      <c r="D205" s="388"/>
      <c r="E205" s="388"/>
      <c r="F205" s="389">
        <f>SUM(F200:F204)</f>
        <v>106163854.2</v>
      </c>
      <c r="G205" s="390"/>
    </row>
    <row r="206" spans="2:9" s="27" customFormat="1" ht="15">
      <c r="B206" s="38"/>
      <c r="C206" s="38"/>
      <c r="D206" s="38"/>
      <c r="E206" s="38"/>
      <c r="F206" s="39"/>
      <c r="G206" s="39"/>
      <c r="H206" s="18"/>
      <c r="I206" s="18"/>
    </row>
    <row r="207" spans="1:9" s="31" customFormat="1" ht="21.75" customHeight="1">
      <c r="A207" s="62" t="s">
        <v>555</v>
      </c>
      <c r="B207" s="63"/>
      <c r="C207" s="63"/>
      <c r="D207" s="63"/>
      <c r="E207" s="63"/>
      <c r="F207" s="63"/>
      <c r="G207" s="64">
        <f>+'Gral y X Prog.'!G89</f>
        <v>140846139.24</v>
      </c>
      <c r="H207" s="63"/>
      <c r="I207" s="63"/>
    </row>
    <row r="208" spans="2:9" s="27" customFormat="1" ht="15">
      <c r="B208" s="38"/>
      <c r="C208" s="38"/>
      <c r="D208" s="38"/>
      <c r="E208" s="38"/>
      <c r="F208" s="39"/>
      <c r="G208" s="39"/>
      <c r="H208" s="17"/>
      <c r="I208" s="17"/>
    </row>
    <row r="209" spans="1:9" s="27" customFormat="1" ht="48.75" customHeight="1">
      <c r="A209" s="406" t="s">
        <v>572</v>
      </c>
      <c r="B209" s="406"/>
      <c r="C209" s="406"/>
      <c r="D209" s="406"/>
      <c r="E209" s="406"/>
      <c r="F209" s="406"/>
      <c r="G209" s="406"/>
      <c r="H209" s="406"/>
      <c r="I209" s="406"/>
    </row>
    <row r="210" spans="2:9" s="27" customFormat="1" ht="15">
      <c r="B210" s="38"/>
      <c r="C210" s="38"/>
      <c r="D210" s="38"/>
      <c r="E210" s="38"/>
      <c r="F210" s="39"/>
      <c r="G210" s="39"/>
      <c r="H210" s="17"/>
      <c r="I210" s="17"/>
    </row>
    <row r="211" spans="2:9" s="27" customFormat="1" ht="15">
      <c r="B211" s="38"/>
      <c r="C211" s="38"/>
      <c r="D211" s="38"/>
      <c r="E211" s="38"/>
      <c r="F211" s="39"/>
      <c r="G211" s="39"/>
      <c r="H211" s="17"/>
      <c r="I211" s="43"/>
    </row>
    <row r="212" spans="2:9" s="27" customFormat="1" ht="15">
      <c r="B212" s="38"/>
      <c r="C212" s="38"/>
      <c r="D212" s="38"/>
      <c r="E212" s="38"/>
      <c r="F212" s="39"/>
      <c r="G212" s="39"/>
      <c r="H212" s="17"/>
      <c r="I212" s="43"/>
    </row>
  </sheetData>
  <sheetProtection/>
  <mergeCells count="135">
    <mergeCell ref="C65:F65"/>
    <mergeCell ref="C63:F63"/>
    <mergeCell ref="C87:F87"/>
    <mergeCell ref="G81:H81"/>
    <mergeCell ref="A134:I134"/>
    <mergeCell ref="G87:H87"/>
    <mergeCell ref="C85:F85"/>
    <mergeCell ref="G83:H83"/>
    <mergeCell ref="G84:H84"/>
    <mergeCell ref="G85:H85"/>
    <mergeCell ref="B23:E23"/>
    <mergeCell ref="F135:G135"/>
    <mergeCell ref="A131:I131"/>
    <mergeCell ref="B145:E145"/>
    <mergeCell ref="F146:G146"/>
    <mergeCell ref="B146:E146"/>
    <mergeCell ref="F136:G136"/>
    <mergeCell ref="G65:H65"/>
    <mergeCell ref="B136:E136"/>
    <mergeCell ref="B135:E135"/>
    <mergeCell ref="F160:G160"/>
    <mergeCell ref="C86:F86"/>
    <mergeCell ref="B157:E157"/>
    <mergeCell ref="A61:I61"/>
    <mergeCell ref="A13:E13"/>
    <mergeCell ref="A14:I14"/>
    <mergeCell ref="F22:G22"/>
    <mergeCell ref="F23:G23"/>
    <mergeCell ref="B21:E21"/>
    <mergeCell ref="F152:G152"/>
    <mergeCell ref="F186:G186"/>
    <mergeCell ref="B193:E193"/>
    <mergeCell ref="B185:E185"/>
    <mergeCell ref="B199:E199"/>
    <mergeCell ref="B186:E186"/>
    <mergeCell ref="F185:G185"/>
    <mergeCell ref="B187:E187"/>
    <mergeCell ref="F187:G187"/>
    <mergeCell ref="F159:G159"/>
    <mergeCell ref="F176:G176"/>
    <mergeCell ref="B160:E160"/>
    <mergeCell ref="F177:G177"/>
    <mergeCell ref="B159:E159"/>
    <mergeCell ref="B166:E166"/>
    <mergeCell ref="F166:G166"/>
    <mergeCell ref="F164:G164"/>
    <mergeCell ref="B165:E165"/>
    <mergeCell ref="F165:G165"/>
    <mergeCell ref="F158:G158"/>
    <mergeCell ref="B177:E177"/>
    <mergeCell ref="B158:E158"/>
    <mergeCell ref="B176:E176"/>
    <mergeCell ref="B164:E164"/>
    <mergeCell ref="F21:G21"/>
    <mergeCell ref="A55:I55"/>
    <mergeCell ref="A59:I59"/>
    <mergeCell ref="G63:H63"/>
    <mergeCell ref="C83:F83"/>
    <mergeCell ref="C84:F84"/>
    <mergeCell ref="G66:H66"/>
    <mergeCell ref="F24:G24"/>
    <mergeCell ref="C82:F82"/>
    <mergeCell ref="G82:H82"/>
    <mergeCell ref="A7:E7"/>
    <mergeCell ref="A8:I8"/>
    <mergeCell ref="F157:G157"/>
    <mergeCell ref="A57:I57"/>
    <mergeCell ref="A16:E16"/>
    <mergeCell ref="C67:F67"/>
    <mergeCell ref="G67:H67"/>
    <mergeCell ref="A11:I11"/>
    <mergeCell ref="A71:I71"/>
    <mergeCell ref="C81:F81"/>
    <mergeCell ref="A10:E10"/>
    <mergeCell ref="C64:F64"/>
    <mergeCell ref="B149:E149"/>
    <mergeCell ref="A1:I1"/>
    <mergeCell ref="A2:I2"/>
    <mergeCell ref="A3:I3"/>
    <mergeCell ref="A50:I50"/>
    <mergeCell ref="B24:E24"/>
    <mergeCell ref="A5:I5"/>
    <mergeCell ref="A18:I18"/>
    <mergeCell ref="B152:E152"/>
    <mergeCell ref="B22:E22"/>
    <mergeCell ref="A53:I53"/>
    <mergeCell ref="G64:H64"/>
    <mergeCell ref="C66:F66"/>
    <mergeCell ref="A140:I140"/>
    <mergeCell ref="B144:E144"/>
    <mergeCell ref="B202:E202"/>
    <mergeCell ref="F202:G202"/>
    <mergeCell ref="B203:E203"/>
    <mergeCell ref="F188:G188"/>
    <mergeCell ref="B201:E201"/>
    <mergeCell ref="F201:G201"/>
    <mergeCell ref="A209:I209"/>
    <mergeCell ref="B205:E205"/>
    <mergeCell ref="F205:G205"/>
    <mergeCell ref="F199:G199"/>
    <mergeCell ref="G86:H86"/>
    <mergeCell ref="B147:E147"/>
    <mergeCell ref="B148:E148"/>
    <mergeCell ref="B137:E137"/>
    <mergeCell ref="F137:G137"/>
    <mergeCell ref="F145:G145"/>
    <mergeCell ref="F144:G144"/>
    <mergeCell ref="F147:G147"/>
    <mergeCell ref="F148:G148"/>
    <mergeCell ref="F149:G149"/>
    <mergeCell ref="F150:G150"/>
    <mergeCell ref="B151:E151"/>
    <mergeCell ref="F151:G151"/>
    <mergeCell ref="B150:E150"/>
    <mergeCell ref="B200:E200"/>
    <mergeCell ref="F200:G200"/>
    <mergeCell ref="B188:E188"/>
    <mergeCell ref="F181:G181"/>
    <mergeCell ref="B181:E181"/>
    <mergeCell ref="B178:E178"/>
    <mergeCell ref="B179:E179"/>
    <mergeCell ref="B180:E180"/>
    <mergeCell ref="F178:G178"/>
    <mergeCell ref="F179:G179"/>
    <mergeCell ref="F180:G180"/>
    <mergeCell ref="F203:G203"/>
    <mergeCell ref="B204:E204"/>
    <mergeCell ref="F204:G204"/>
    <mergeCell ref="B192:E192"/>
    <mergeCell ref="F192:G192"/>
    <mergeCell ref="F193:G193"/>
    <mergeCell ref="B194:E194"/>
    <mergeCell ref="F194:G194"/>
    <mergeCell ref="B195:E195"/>
    <mergeCell ref="F195:G195"/>
  </mergeCells>
  <printOptions horizontalCentered="1"/>
  <pageMargins left="0.3937007874015748" right="0.3937007874015748" top="0.3937007874015748" bottom="0.3937007874015748" header="0" footer="0"/>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F28"/>
  <sheetViews>
    <sheetView showGridLines="0" zoomScalePageLayoutView="0" workbookViewId="0" topLeftCell="A13">
      <selection activeCell="A14" sqref="A14:A17"/>
    </sheetView>
  </sheetViews>
  <sheetFormatPr defaultColWidth="11.421875" defaultRowHeight="12.75"/>
  <cols>
    <col min="1" max="1" width="16.421875" style="99" customWidth="1"/>
    <col min="2" max="2" width="45.28125" style="83" customWidth="1"/>
    <col min="3" max="3" width="22.00390625" style="85" customWidth="1"/>
    <col min="4" max="4" width="64.7109375" style="83" customWidth="1"/>
    <col min="5" max="5" width="16.57421875" style="83" bestFit="1" customWidth="1"/>
    <col min="6" max="6" width="16.28125" style="83" customWidth="1"/>
    <col min="7" max="16384" width="11.421875" style="83" customWidth="1"/>
  </cols>
  <sheetData>
    <row r="1" spans="1:4" ht="18">
      <c r="A1" s="423" t="s">
        <v>22</v>
      </c>
      <c r="B1" s="423"/>
      <c r="C1" s="423"/>
      <c r="D1" s="423"/>
    </row>
    <row r="2" spans="1:4" ht="18">
      <c r="A2" s="423" t="s">
        <v>576</v>
      </c>
      <c r="B2" s="423"/>
      <c r="C2" s="423"/>
      <c r="D2" s="423"/>
    </row>
    <row r="3" spans="1:4" ht="18.75" thickBot="1">
      <c r="A3" s="82"/>
      <c r="B3" s="82"/>
      <c r="C3" s="82"/>
      <c r="D3" s="82"/>
    </row>
    <row r="4" spans="1:6" ht="22.5" customHeight="1">
      <c r="A4" s="84" t="s">
        <v>212</v>
      </c>
      <c r="B4" s="84" t="s">
        <v>77</v>
      </c>
      <c r="C4" s="84" t="s">
        <v>12</v>
      </c>
      <c r="D4" s="84" t="s">
        <v>13</v>
      </c>
      <c r="F4" s="85"/>
    </row>
    <row r="5" spans="1:5" ht="18" customHeight="1">
      <c r="A5" s="86"/>
      <c r="B5" s="86"/>
      <c r="C5" s="87">
        <f>+SUM(C6:C19)</f>
        <v>165972882.17</v>
      </c>
      <c r="D5" s="86"/>
      <c r="E5" s="85"/>
    </row>
    <row r="6" spans="1:4" s="92" customFormat="1" ht="28.5" customHeight="1">
      <c r="A6" s="88" t="s">
        <v>352</v>
      </c>
      <c r="B6" s="89" t="s">
        <v>353</v>
      </c>
      <c r="C6" s="90">
        <v>24569882.1</v>
      </c>
      <c r="D6" s="91" t="s">
        <v>354</v>
      </c>
    </row>
    <row r="7" spans="1:4" s="92" customFormat="1" ht="28.5" customHeight="1">
      <c r="A7" s="93" t="s">
        <v>489</v>
      </c>
      <c r="B7" s="94" t="s">
        <v>437</v>
      </c>
      <c r="C7" s="95">
        <v>34958119</v>
      </c>
      <c r="D7" s="96" t="s">
        <v>492</v>
      </c>
    </row>
    <row r="8" spans="1:4" s="92" customFormat="1" ht="28.5" customHeight="1">
      <c r="A8" s="88" t="s">
        <v>490</v>
      </c>
      <c r="B8" s="89" t="s">
        <v>439</v>
      </c>
      <c r="C8" s="90">
        <v>18134494</v>
      </c>
      <c r="D8" s="91" t="s">
        <v>492</v>
      </c>
    </row>
    <row r="9" spans="1:4" s="92" customFormat="1" ht="30.75" customHeight="1">
      <c r="A9" s="93" t="s">
        <v>491</v>
      </c>
      <c r="B9" s="94" t="s">
        <v>446</v>
      </c>
      <c r="C9" s="95">
        <v>6058280.41</v>
      </c>
      <c r="D9" s="96" t="s">
        <v>492</v>
      </c>
    </row>
    <row r="10" spans="1:4" s="92" customFormat="1" ht="28.5" customHeight="1">
      <c r="A10" s="88" t="s">
        <v>430</v>
      </c>
      <c r="B10" s="89" t="s">
        <v>244</v>
      </c>
      <c r="C10" s="90">
        <v>3000000</v>
      </c>
      <c r="D10" s="91" t="s">
        <v>431</v>
      </c>
    </row>
    <row r="11" spans="1:4" s="92" customFormat="1" ht="28.5" customHeight="1">
      <c r="A11" s="93" t="s">
        <v>487</v>
      </c>
      <c r="B11" s="94" t="s">
        <v>194</v>
      </c>
      <c r="C11" s="95">
        <v>3000000</v>
      </c>
      <c r="D11" s="96" t="s">
        <v>488</v>
      </c>
    </row>
    <row r="12" spans="1:4" s="92" customFormat="1" ht="28.5" customHeight="1">
      <c r="A12" s="88" t="s">
        <v>427</v>
      </c>
      <c r="B12" s="89" t="s">
        <v>428</v>
      </c>
      <c r="C12" s="90">
        <v>4000000</v>
      </c>
      <c r="D12" s="91" t="s">
        <v>429</v>
      </c>
    </row>
    <row r="13" spans="1:4" s="92" customFormat="1" ht="61.5" customHeight="1">
      <c r="A13" s="476" t="s">
        <v>301</v>
      </c>
      <c r="B13" s="477" t="s">
        <v>302</v>
      </c>
      <c r="C13" s="478">
        <v>2790000</v>
      </c>
      <c r="D13" s="479" t="s">
        <v>593</v>
      </c>
    </row>
    <row r="14" spans="1:4" s="92" customFormat="1" ht="45" customHeight="1">
      <c r="A14" s="476" t="s">
        <v>596</v>
      </c>
      <c r="B14" s="477" t="s">
        <v>589</v>
      </c>
      <c r="C14" s="478">
        <v>27720000</v>
      </c>
      <c r="D14" s="479" t="s">
        <v>593</v>
      </c>
    </row>
    <row r="15" spans="1:4" s="92" customFormat="1" ht="45" customHeight="1">
      <c r="A15" s="476" t="s">
        <v>597</v>
      </c>
      <c r="B15" s="477" t="s">
        <v>590</v>
      </c>
      <c r="C15" s="478">
        <v>1440000</v>
      </c>
      <c r="D15" s="479" t="s">
        <v>593</v>
      </c>
    </row>
    <row r="16" spans="1:4" s="92" customFormat="1" ht="45" customHeight="1">
      <c r="A16" s="476" t="s">
        <v>598</v>
      </c>
      <c r="B16" s="477" t="s">
        <v>591</v>
      </c>
      <c r="C16" s="478">
        <v>1260000</v>
      </c>
      <c r="D16" s="479" t="s">
        <v>593</v>
      </c>
    </row>
    <row r="17" spans="1:4" s="92" customFormat="1" ht="45" customHeight="1">
      <c r="A17" s="476" t="s">
        <v>599</v>
      </c>
      <c r="B17" s="477" t="s">
        <v>592</v>
      </c>
      <c r="C17" s="478">
        <v>2790000</v>
      </c>
      <c r="D17" s="479" t="s">
        <v>593</v>
      </c>
    </row>
    <row r="18" spans="1:4" s="92" customFormat="1" ht="28.5" customHeight="1">
      <c r="A18" s="88" t="s">
        <v>433</v>
      </c>
      <c r="B18" s="89" t="s">
        <v>434</v>
      </c>
      <c r="C18" s="90">
        <v>20000000</v>
      </c>
      <c r="D18" s="91" t="s">
        <v>436</v>
      </c>
    </row>
    <row r="19" spans="1:4" s="92" customFormat="1" ht="24.75" customHeight="1" thickBot="1">
      <c r="A19" s="93" t="s">
        <v>144</v>
      </c>
      <c r="B19" s="94" t="s">
        <v>143</v>
      </c>
      <c r="C19" s="95">
        <v>16252106.66</v>
      </c>
      <c r="D19" s="96" t="s">
        <v>283</v>
      </c>
    </row>
    <row r="20" spans="1:4" ht="15.75" thickBot="1">
      <c r="A20" s="424" t="s">
        <v>16</v>
      </c>
      <c r="B20" s="425"/>
      <c r="C20" s="97">
        <f>SUM(C6:C19)</f>
        <v>165972882.17</v>
      </c>
      <c r="D20" s="98"/>
    </row>
    <row r="21" spans="2:4" ht="12.75">
      <c r="B21" s="100"/>
      <c r="D21" s="85"/>
    </row>
    <row r="25" ht="12.75">
      <c r="B25" s="85"/>
    </row>
    <row r="28" spans="1:3" s="92" customFormat="1" ht="12.75">
      <c r="A28" s="101"/>
      <c r="B28" s="102"/>
      <c r="C28" s="103"/>
    </row>
  </sheetData>
  <sheetProtection/>
  <mergeCells count="3">
    <mergeCell ref="A1:D1"/>
    <mergeCell ref="A2:D2"/>
    <mergeCell ref="A20:B20"/>
  </mergeCells>
  <printOptions horizontalCentered="1"/>
  <pageMargins left="0.1968503937007874" right="0.1968503937007874" top="0.3937007874015748" bottom="0.15748031496062992" header="0" footer="0"/>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1:F57"/>
  <sheetViews>
    <sheetView showGridLines="0" zoomScalePageLayoutView="0" workbookViewId="0" topLeftCell="A23">
      <selection activeCell="C28" sqref="C28"/>
    </sheetView>
  </sheetViews>
  <sheetFormatPr defaultColWidth="11.421875" defaultRowHeight="12.75"/>
  <cols>
    <col min="1" max="1" width="21.421875" style="115" customWidth="1"/>
    <col min="2" max="2" width="47.00390625" style="115" customWidth="1"/>
    <col min="3" max="3" width="20.421875" style="67" customWidth="1"/>
    <col min="4" max="4" width="59.57421875" style="65" customWidth="1"/>
    <col min="5" max="5" width="11.421875" style="65" customWidth="1"/>
    <col min="6" max="6" width="15.421875" style="65" bestFit="1" customWidth="1"/>
    <col min="7" max="7" width="13.7109375" style="65" bestFit="1" customWidth="1"/>
    <col min="8" max="16384" width="11.421875" style="65" customWidth="1"/>
  </cols>
  <sheetData>
    <row r="1" spans="1:4" ht="18.75" customHeight="1">
      <c r="A1" s="426" t="s">
        <v>21</v>
      </c>
      <c r="B1" s="426"/>
      <c r="C1" s="426"/>
      <c r="D1" s="426"/>
    </row>
    <row r="2" spans="1:4" ht="18" customHeight="1">
      <c r="A2" s="426" t="s">
        <v>576</v>
      </c>
      <c r="B2" s="426"/>
      <c r="C2" s="426"/>
      <c r="D2" s="426"/>
    </row>
    <row r="3" spans="1:4" ht="18" customHeight="1">
      <c r="A3" s="104"/>
      <c r="B3" s="104"/>
      <c r="C3" s="104"/>
      <c r="D3" s="104"/>
    </row>
    <row r="4" spans="1:4" ht="38.25" customHeight="1">
      <c r="A4" s="105" t="s">
        <v>120</v>
      </c>
      <c r="B4" s="105" t="s">
        <v>77</v>
      </c>
      <c r="C4" s="105" t="s">
        <v>12</v>
      </c>
      <c r="D4" s="105" t="s">
        <v>13</v>
      </c>
    </row>
    <row r="5" spans="1:6" ht="15" customHeight="1">
      <c r="A5" s="106"/>
      <c r="B5" s="107"/>
      <c r="C5" s="108">
        <f>SUM(C6:C53)</f>
        <v>336274811.63</v>
      </c>
      <c r="D5" s="109"/>
      <c r="F5" s="67"/>
    </row>
    <row r="6" spans="1:6" ht="46.5" customHeight="1">
      <c r="A6" s="315" t="s">
        <v>343</v>
      </c>
      <c r="B6" s="316" t="s">
        <v>344</v>
      </c>
      <c r="C6" s="317">
        <v>26783588.8</v>
      </c>
      <c r="D6" s="91" t="s">
        <v>345</v>
      </c>
      <c r="F6" s="67"/>
    </row>
    <row r="7" spans="1:6" ht="33" customHeight="1">
      <c r="A7" s="110" t="s">
        <v>340</v>
      </c>
      <c r="B7" s="111" t="s">
        <v>333</v>
      </c>
      <c r="C7" s="112">
        <v>1659625.75</v>
      </c>
      <c r="D7" s="96" t="s">
        <v>341</v>
      </c>
      <c r="F7" s="67"/>
    </row>
    <row r="8" spans="1:6" ht="33" customHeight="1">
      <c r="A8" s="315" t="s">
        <v>340</v>
      </c>
      <c r="B8" s="316" t="s">
        <v>333</v>
      </c>
      <c r="C8" s="317">
        <v>3740084.77</v>
      </c>
      <c r="D8" s="91" t="s">
        <v>341</v>
      </c>
      <c r="F8" s="67"/>
    </row>
    <row r="9" spans="1:6" ht="49.5" customHeight="1">
      <c r="A9" s="110" t="s">
        <v>370</v>
      </c>
      <c r="B9" s="111" t="s">
        <v>371</v>
      </c>
      <c r="C9" s="112">
        <v>2500000</v>
      </c>
      <c r="D9" s="96" t="s">
        <v>417</v>
      </c>
      <c r="F9" s="67"/>
    </row>
    <row r="10" spans="1:6" ht="38.25" customHeight="1">
      <c r="A10" s="315" t="s">
        <v>365</v>
      </c>
      <c r="B10" s="316" t="s">
        <v>366</v>
      </c>
      <c r="C10" s="317">
        <v>500000</v>
      </c>
      <c r="D10" s="91" t="s">
        <v>367</v>
      </c>
      <c r="F10" s="67"/>
    </row>
    <row r="11" spans="1:6" ht="32.25" customHeight="1">
      <c r="A11" s="110" t="s">
        <v>368</v>
      </c>
      <c r="B11" s="111" t="s">
        <v>194</v>
      </c>
      <c r="C11" s="112">
        <v>500000</v>
      </c>
      <c r="D11" s="96" t="s">
        <v>369</v>
      </c>
      <c r="F11" s="67"/>
    </row>
    <row r="12" spans="1:6" ht="32.25" customHeight="1">
      <c r="A12" s="315" t="s">
        <v>421</v>
      </c>
      <c r="B12" s="316" t="s">
        <v>422</v>
      </c>
      <c r="C12" s="317">
        <v>1000000</v>
      </c>
      <c r="D12" s="91" t="s">
        <v>423</v>
      </c>
      <c r="F12" s="67"/>
    </row>
    <row r="13" spans="1:6" ht="53.25" customHeight="1">
      <c r="A13" s="110" t="s">
        <v>418</v>
      </c>
      <c r="B13" s="111" t="s">
        <v>419</v>
      </c>
      <c r="C13" s="112">
        <v>4000000</v>
      </c>
      <c r="D13" s="96" t="s">
        <v>420</v>
      </c>
      <c r="F13" s="66"/>
    </row>
    <row r="14" spans="1:6" ht="53.25" customHeight="1">
      <c r="A14" s="315" t="s">
        <v>362</v>
      </c>
      <c r="B14" s="316" t="s">
        <v>363</v>
      </c>
      <c r="C14" s="317">
        <v>5700000</v>
      </c>
      <c r="D14" s="91" t="s">
        <v>364</v>
      </c>
      <c r="F14" s="66"/>
    </row>
    <row r="15" spans="1:6" ht="36" customHeight="1">
      <c r="A15" s="110" t="s">
        <v>424</v>
      </c>
      <c r="B15" s="111" t="s">
        <v>229</v>
      </c>
      <c r="C15" s="112">
        <v>12273383</v>
      </c>
      <c r="D15" s="96" t="s">
        <v>426</v>
      </c>
      <c r="F15" s="66"/>
    </row>
    <row r="16" spans="1:6" ht="36" customHeight="1">
      <c r="A16" s="315" t="s">
        <v>359</v>
      </c>
      <c r="B16" s="316" t="s">
        <v>360</v>
      </c>
      <c r="C16" s="317">
        <v>5000000</v>
      </c>
      <c r="D16" s="91" t="s">
        <v>361</v>
      </c>
      <c r="F16" s="66"/>
    </row>
    <row r="17" spans="1:6" ht="36" customHeight="1">
      <c r="A17" s="110" t="s">
        <v>401</v>
      </c>
      <c r="B17" s="111" t="s">
        <v>210</v>
      </c>
      <c r="C17" s="112">
        <v>33546800</v>
      </c>
      <c r="D17" s="96" t="s">
        <v>402</v>
      </c>
      <c r="F17" s="66"/>
    </row>
    <row r="18" spans="1:6" ht="36" customHeight="1">
      <c r="A18" s="315" t="s">
        <v>398</v>
      </c>
      <c r="B18" s="316" t="s">
        <v>399</v>
      </c>
      <c r="C18" s="317">
        <v>8000000</v>
      </c>
      <c r="D18" s="91" t="s">
        <v>400</v>
      </c>
      <c r="F18" s="66"/>
    </row>
    <row r="19" spans="1:6" ht="42" customHeight="1">
      <c r="A19" s="110" t="s">
        <v>388</v>
      </c>
      <c r="B19" s="111" t="s">
        <v>349</v>
      </c>
      <c r="C19" s="112">
        <v>1500000</v>
      </c>
      <c r="D19" s="96" t="s">
        <v>350</v>
      </c>
      <c r="F19" s="66"/>
    </row>
    <row r="20" spans="1:6" ht="51.75" customHeight="1">
      <c r="A20" s="315" t="s">
        <v>388</v>
      </c>
      <c r="B20" s="316" t="s">
        <v>349</v>
      </c>
      <c r="C20" s="317">
        <v>2500000</v>
      </c>
      <c r="D20" s="91" t="s">
        <v>351</v>
      </c>
      <c r="F20" s="66"/>
    </row>
    <row r="21" spans="1:6" ht="33.75" customHeight="1">
      <c r="A21" s="110" t="s">
        <v>416</v>
      </c>
      <c r="B21" s="111" t="s">
        <v>414</v>
      </c>
      <c r="C21" s="112">
        <v>150000</v>
      </c>
      <c r="D21" s="96" t="s">
        <v>412</v>
      </c>
      <c r="F21" s="66"/>
    </row>
    <row r="22" spans="1:6" ht="33.75" customHeight="1">
      <c r="A22" s="315" t="s">
        <v>415</v>
      </c>
      <c r="B22" s="316" t="s">
        <v>30</v>
      </c>
      <c r="C22" s="317">
        <v>300000</v>
      </c>
      <c r="D22" s="91" t="s">
        <v>412</v>
      </c>
      <c r="F22" s="66"/>
    </row>
    <row r="23" spans="1:6" ht="33.75" customHeight="1">
      <c r="A23" s="110" t="s">
        <v>544</v>
      </c>
      <c r="B23" s="111" t="s">
        <v>411</v>
      </c>
      <c r="C23" s="112">
        <v>336598.7</v>
      </c>
      <c r="D23" s="96" t="s">
        <v>412</v>
      </c>
      <c r="F23" s="66"/>
    </row>
    <row r="24" spans="1:6" ht="33.75" customHeight="1">
      <c r="A24" s="315" t="s">
        <v>413</v>
      </c>
      <c r="B24" s="316" t="s">
        <v>185</v>
      </c>
      <c r="C24" s="317">
        <v>350000</v>
      </c>
      <c r="D24" s="91" t="s">
        <v>412</v>
      </c>
      <c r="F24" s="66"/>
    </row>
    <row r="25" spans="1:6" ht="33.75" customHeight="1">
      <c r="A25" s="110" t="s">
        <v>452</v>
      </c>
      <c r="B25" s="111" t="s">
        <v>333</v>
      </c>
      <c r="C25" s="112">
        <v>5000000</v>
      </c>
      <c r="D25" s="96" t="s">
        <v>432</v>
      </c>
      <c r="F25" s="66"/>
    </row>
    <row r="26" spans="1:6" ht="47.25" customHeight="1">
      <c r="A26" s="315" t="s">
        <v>332</v>
      </c>
      <c r="B26" s="316" t="s">
        <v>333</v>
      </c>
      <c r="C26" s="317">
        <v>2194764</v>
      </c>
      <c r="D26" s="91" t="s">
        <v>334</v>
      </c>
      <c r="F26" s="66"/>
    </row>
    <row r="27" spans="1:6" ht="62.25" customHeight="1">
      <c r="A27" s="480" t="s">
        <v>200</v>
      </c>
      <c r="B27" s="481" t="s">
        <v>284</v>
      </c>
      <c r="C27" s="482">
        <v>34821470</v>
      </c>
      <c r="D27" s="479" t="s">
        <v>594</v>
      </c>
      <c r="F27" s="66"/>
    </row>
    <row r="28" spans="1:6" ht="46.5" customHeight="1">
      <c r="A28" s="315" t="s">
        <v>200</v>
      </c>
      <c r="B28" s="316" t="s">
        <v>284</v>
      </c>
      <c r="C28" s="317">
        <v>48383171.35</v>
      </c>
      <c r="D28" s="91" t="s">
        <v>335</v>
      </c>
      <c r="F28" s="66"/>
    </row>
    <row r="29" spans="1:6" ht="46.5" customHeight="1">
      <c r="A29" s="110" t="s">
        <v>527</v>
      </c>
      <c r="B29" s="111" t="s">
        <v>528</v>
      </c>
      <c r="C29" s="112">
        <v>10000000</v>
      </c>
      <c r="D29" s="96" t="s">
        <v>529</v>
      </c>
      <c r="F29" s="66"/>
    </row>
    <row r="30" spans="1:6" ht="30.75" customHeight="1">
      <c r="A30" s="315" t="s">
        <v>337</v>
      </c>
      <c r="B30" s="316" t="s">
        <v>338</v>
      </c>
      <c r="C30" s="317">
        <v>9497067.3</v>
      </c>
      <c r="D30" s="91" t="s">
        <v>339</v>
      </c>
      <c r="F30" s="66"/>
    </row>
    <row r="31" spans="1:6" ht="34.5" customHeight="1">
      <c r="A31" s="110" t="s">
        <v>285</v>
      </c>
      <c r="B31" s="111" t="s">
        <v>229</v>
      </c>
      <c r="C31" s="112">
        <v>17256766.13</v>
      </c>
      <c r="D31" s="96" t="s">
        <v>286</v>
      </c>
      <c r="F31" s="66"/>
    </row>
    <row r="32" spans="1:6" ht="34.5" customHeight="1">
      <c r="A32" s="315" t="s">
        <v>441</v>
      </c>
      <c r="B32" s="316" t="s">
        <v>442</v>
      </c>
      <c r="C32" s="317">
        <f>+(428700*4)*6</f>
        <v>10288800</v>
      </c>
      <c r="D32" s="91" t="s">
        <v>475</v>
      </c>
      <c r="F32" s="66"/>
    </row>
    <row r="33" spans="1:6" ht="34.5" customHeight="1">
      <c r="A33" s="110" t="s">
        <v>444</v>
      </c>
      <c r="B33" s="111" t="s">
        <v>445</v>
      </c>
      <c r="C33" s="112">
        <f>+C32*8.33%</f>
        <v>857057.04</v>
      </c>
      <c r="D33" s="96" t="s">
        <v>475</v>
      </c>
      <c r="F33" s="66"/>
    </row>
    <row r="34" spans="1:6" ht="34.5" customHeight="1">
      <c r="A34" s="315" t="s">
        <v>443</v>
      </c>
      <c r="B34" s="316" t="s">
        <v>167</v>
      </c>
      <c r="C34" s="317">
        <f>+C32*10%</f>
        <v>1028880</v>
      </c>
      <c r="D34" s="91" t="s">
        <v>475</v>
      </c>
      <c r="F34" s="66"/>
    </row>
    <row r="35" spans="1:6" ht="34.5" customHeight="1">
      <c r="A35" s="110" t="s">
        <v>454</v>
      </c>
      <c r="B35" s="111" t="s">
        <v>437</v>
      </c>
      <c r="C35" s="112">
        <f>+C32*9.25%</f>
        <v>951714</v>
      </c>
      <c r="D35" s="96" t="s">
        <v>475</v>
      </c>
      <c r="F35" s="66"/>
    </row>
    <row r="36" spans="1:6" ht="34.5" customHeight="1">
      <c r="A36" s="315" t="s">
        <v>455</v>
      </c>
      <c r="B36" s="316" t="s">
        <v>438</v>
      </c>
      <c r="C36" s="317">
        <f>+C32*0.5%</f>
        <v>51444</v>
      </c>
      <c r="D36" s="91" t="s">
        <v>475</v>
      </c>
      <c r="F36" s="66"/>
    </row>
    <row r="37" spans="1:6" ht="34.5" customHeight="1">
      <c r="A37" s="110" t="s">
        <v>456</v>
      </c>
      <c r="B37" s="111" t="s">
        <v>439</v>
      </c>
      <c r="C37" s="112">
        <f>+C32*5.08%</f>
        <v>522671.04</v>
      </c>
      <c r="D37" s="96" t="s">
        <v>475</v>
      </c>
      <c r="F37" s="66"/>
    </row>
    <row r="38" spans="1:6" ht="34.5" customHeight="1">
      <c r="A38" s="315" t="s">
        <v>457</v>
      </c>
      <c r="B38" s="316" t="s">
        <v>440</v>
      </c>
      <c r="C38" s="317">
        <f>+C32*1.5%</f>
        <v>154332</v>
      </c>
      <c r="D38" s="91" t="s">
        <v>475</v>
      </c>
      <c r="F38" s="66"/>
    </row>
    <row r="39" spans="1:6" ht="46.5" customHeight="1">
      <c r="A39" s="110" t="s">
        <v>458</v>
      </c>
      <c r="B39" s="111" t="s">
        <v>446</v>
      </c>
      <c r="C39" s="112">
        <f>+C32*3%</f>
        <v>308664</v>
      </c>
      <c r="D39" s="96" t="s">
        <v>475</v>
      </c>
      <c r="F39" s="66"/>
    </row>
    <row r="40" spans="1:6" ht="46.5" customHeight="1">
      <c r="A40" s="315" t="s">
        <v>532</v>
      </c>
      <c r="B40" s="316" t="s">
        <v>533</v>
      </c>
      <c r="C40" s="317">
        <f>+C32*5%</f>
        <v>514440</v>
      </c>
      <c r="D40" s="91" t="s">
        <v>475</v>
      </c>
      <c r="F40" s="66"/>
    </row>
    <row r="41" spans="1:6" ht="33" customHeight="1">
      <c r="A41" s="110" t="s">
        <v>530</v>
      </c>
      <c r="B41" s="111" t="s">
        <v>333</v>
      </c>
      <c r="C41" s="112">
        <v>1200000</v>
      </c>
      <c r="D41" s="96" t="s">
        <v>515</v>
      </c>
      <c r="F41" s="66"/>
    </row>
    <row r="42" spans="1:6" ht="33" customHeight="1">
      <c r="A42" s="315" t="s">
        <v>530</v>
      </c>
      <c r="B42" s="111" t="s">
        <v>333</v>
      </c>
      <c r="C42" s="317">
        <v>300000</v>
      </c>
      <c r="D42" s="91" t="s">
        <v>531</v>
      </c>
      <c r="F42" s="66"/>
    </row>
    <row r="43" spans="1:6" ht="30.75" customHeight="1">
      <c r="A43" s="110" t="s">
        <v>517</v>
      </c>
      <c r="B43" s="111" t="s">
        <v>518</v>
      </c>
      <c r="C43" s="112">
        <v>6000000</v>
      </c>
      <c r="D43" s="96" t="s">
        <v>519</v>
      </c>
      <c r="F43" s="66"/>
    </row>
    <row r="44" spans="1:6" ht="37.5" customHeight="1">
      <c r="A44" s="315" t="s">
        <v>509</v>
      </c>
      <c r="B44" s="316" t="s">
        <v>510</v>
      </c>
      <c r="C44" s="317">
        <v>600000</v>
      </c>
      <c r="D44" s="91" t="s">
        <v>511</v>
      </c>
      <c r="F44" s="66"/>
    </row>
    <row r="45" spans="1:6" ht="42.75" customHeight="1">
      <c r="A45" s="110" t="s">
        <v>505</v>
      </c>
      <c r="B45" s="111" t="s">
        <v>30</v>
      </c>
      <c r="C45" s="112">
        <v>1000000</v>
      </c>
      <c r="D45" s="96" t="s">
        <v>506</v>
      </c>
      <c r="F45" s="66"/>
    </row>
    <row r="46" spans="1:6" ht="37.5" customHeight="1">
      <c r="A46" s="315" t="s">
        <v>507</v>
      </c>
      <c r="B46" s="316" t="s">
        <v>185</v>
      </c>
      <c r="C46" s="317">
        <v>1000000</v>
      </c>
      <c r="D46" s="91" t="s">
        <v>508</v>
      </c>
      <c r="F46" s="66"/>
    </row>
    <row r="47" spans="1:6" ht="31.5" customHeight="1">
      <c r="A47" s="110" t="s">
        <v>513</v>
      </c>
      <c r="B47" s="111" t="s">
        <v>514</v>
      </c>
      <c r="C47" s="112">
        <v>300000</v>
      </c>
      <c r="D47" s="96" t="s">
        <v>516</v>
      </c>
      <c r="F47" s="66"/>
    </row>
    <row r="48" spans="1:6" ht="35.25" customHeight="1">
      <c r="A48" s="315" t="s">
        <v>377</v>
      </c>
      <c r="B48" s="316" t="s">
        <v>378</v>
      </c>
      <c r="C48" s="317">
        <v>3150000</v>
      </c>
      <c r="D48" s="91" t="s">
        <v>379</v>
      </c>
      <c r="F48" s="66"/>
    </row>
    <row r="49" spans="1:6" ht="33" customHeight="1">
      <c r="A49" s="110" t="s">
        <v>381</v>
      </c>
      <c r="B49" s="111" t="s">
        <v>493</v>
      </c>
      <c r="C49" s="112">
        <v>40000000</v>
      </c>
      <c r="D49" s="96" t="s">
        <v>380</v>
      </c>
      <c r="F49" s="66"/>
    </row>
    <row r="50" spans="1:6" ht="77.25" customHeight="1">
      <c r="A50" s="315" t="s">
        <v>381</v>
      </c>
      <c r="B50" s="316" t="s">
        <v>382</v>
      </c>
      <c r="C50" s="317">
        <v>10000000</v>
      </c>
      <c r="D50" s="91" t="s">
        <v>383</v>
      </c>
      <c r="F50" s="66"/>
    </row>
    <row r="51" spans="1:6" ht="33" customHeight="1">
      <c r="A51" s="110" t="s">
        <v>381</v>
      </c>
      <c r="B51" s="111" t="s">
        <v>503</v>
      </c>
      <c r="C51" s="112">
        <v>10163358.37</v>
      </c>
      <c r="D51" s="96" t="s">
        <v>502</v>
      </c>
      <c r="F51" s="66"/>
    </row>
    <row r="52" spans="1:6" ht="33" customHeight="1">
      <c r="A52" s="315" t="s">
        <v>535</v>
      </c>
      <c r="B52" s="316" t="s">
        <v>536</v>
      </c>
      <c r="C52" s="317">
        <v>8250511.38</v>
      </c>
      <c r="D52" s="91" t="s">
        <v>537</v>
      </c>
      <c r="F52" s="66"/>
    </row>
    <row r="53" spans="1:6" ht="37.5" customHeight="1" thickBot="1">
      <c r="A53" s="110" t="s">
        <v>381</v>
      </c>
      <c r="B53" s="111" t="s">
        <v>525</v>
      </c>
      <c r="C53" s="112">
        <f>+(1926+1525)*620</f>
        <v>2139620</v>
      </c>
      <c r="D53" s="96" t="s">
        <v>526</v>
      </c>
      <c r="F53" s="66"/>
    </row>
    <row r="54" spans="1:4" ht="16.5" thickBot="1">
      <c r="A54" s="427" t="s">
        <v>16</v>
      </c>
      <c r="B54" s="428"/>
      <c r="C54" s="113">
        <f>SUM(C6:C53)</f>
        <v>336274811.63</v>
      </c>
      <c r="D54" s="114"/>
    </row>
    <row r="57" ht="12.75">
      <c r="B57" s="116"/>
    </row>
  </sheetData>
  <sheetProtection/>
  <mergeCells count="3">
    <mergeCell ref="A1:D1"/>
    <mergeCell ref="A2:D2"/>
    <mergeCell ref="A54:B54"/>
  </mergeCells>
  <printOptions horizontalCentered="1"/>
  <pageMargins left="0.1968503937007874" right="0.1968503937007874" top="0.3937007874015748" bottom="0.3937007874015748" header="0" footer="0"/>
  <pageSetup horizontalDpi="600" verticalDpi="600" orientation="landscape" scale="85" r:id="rId2"/>
  <drawing r:id="rId1"/>
</worksheet>
</file>

<file path=xl/worksheets/sheet6.xml><?xml version="1.0" encoding="utf-8"?>
<worksheet xmlns="http://schemas.openxmlformats.org/spreadsheetml/2006/main" xmlns:r="http://schemas.openxmlformats.org/officeDocument/2006/relationships">
  <dimension ref="A1:E55"/>
  <sheetViews>
    <sheetView showGridLines="0" zoomScale="110" zoomScaleNormal="110" zoomScalePageLayoutView="0" workbookViewId="0" topLeftCell="A1">
      <selection activeCell="C51" sqref="C51"/>
    </sheetView>
  </sheetViews>
  <sheetFormatPr defaultColWidth="11.421875" defaultRowHeight="12.75"/>
  <cols>
    <col min="1" max="1" width="21.7109375" style="132" customWidth="1"/>
    <col min="2" max="2" width="53.8515625" style="117" customWidth="1"/>
    <col min="3" max="3" width="21.140625" style="123" customWidth="1"/>
    <col min="4" max="4" width="59.00390625" style="117" customWidth="1"/>
    <col min="5" max="5" width="19.421875" style="117" bestFit="1" customWidth="1"/>
    <col min="6" max="6" width="14.140625" style="117" bestFit="1" customWidth="1"/>
    <col min="7" max="16384" width="11.421875" style="117" customWidth="1"/>
  </cols>
  <sheetData>
    <row r="1" spans="1:4" ht="21.75" customHeight="1">
      <c r="A1" s="429" t="s">
        <v>24</v>
      </c>
      <c r="B1" s="429"/>
      <c r="C1" s="429"/>
      <c r="D1" s="429"/>
    </row>
    <row r="2" spans="1:4" ht="11.25" customHeight="1">
      <c r="A2" s="429" t="s">
        <v>576</v>
      </c>
      <c r="B2" s="429"/>
      <c r="C2" s="429"/>
      <c r="D2" s="429"/>
    </row>
    <row r="3" spans="1:4" ht="19.5" thickBot="1">
      <c r="A3" s="118"/>
      <c r="B3" s="119"/>
      <c r="C3" s="119"/>
      <c r="D3" s="120"/>
    </row>
    <row r="4" spans="1:5" ht="33" customHeight="1" thickBot="1">
      <c r="A4" s="84" t="s">
        <v>120</v>
      </c>
      <c r="B4" s="121" t="s">
        <v>77</v>
      </c>
      <c r="C4" s="122" t="s">
        <v>12</v>
      </c>
      <c r="D4" s="121" t="s">
        <v>13</v>
      </c>
      <c r="E4" s="123"/>
    </row>
    <row r="5" spans="1:5" ht="19.5" customHeight="1">
      <c r="A5" s="124"/>
      <c r="B5" s="125"/>
      <c r="C5" s="126">
        <f>SUM(C6:C46)</f>
        <v>768594492.49</v>
      </c>
      <c r="D5" s="127"/>
      <c r="E5" s="123">
        <f>+'Prog-I Detalle'!C20+'Prog-II Detalle'!C5+'Prog-III Detalle'!C5</f>
        <v>1270842186.29</v>
      </c>
    </row>
    <row r="6" spans="1:5" ht="53.25" customHeight="1">
      <c r="A6" s="89" t="s">
        <v>287</v>
      </c>
      <c r="B6" s="320" t="s">
        <v>197</v>
      </c>
      <c r="C6" s="321">
        <v>312235.35</v>
      </c>
      <c r="D6" s="320" t="s">
        <v>288</v>
      </c>
      <c r="E6" s="123"/>
    </row>
    <row r="7" spans="1:5" ht="39" customHeight="1">
      <c r="A7" s="94" t="s">
        <v>295</v>
      </c>
      <c r="B7" s="332" t="s">
        <v>303</v>
      </c>
      <c r="C7" s="128">
        <v>8100000</v>
      </c>
      <c r="D7" s="332" t="s">
        <v>290</v>
      </c>
      <c r="E7" s="123"/>
    </row>
    <row r="8" spans="1:4" s="129" customFormat="1" ht="48.75" customHeight="1">
      <c r="A8" s="89" t="s">
        <v>295</v>
      </c>
      <c r="B8" s="320" t="s">
        <v>358</v>
      </c>
      <c r="C8" s="321">
        <v>1683000</v>
      </c>
      <c r="D8" s="320" t="s">
        <v>521</v>
      </c>
    </row>
    <row r="9" spans="1:4" s="129" customFormat="1" ht="48.75" customHeight="1">
      <c r="A9" s="94" t="s">
        <v>376</v>
      </c>
      <c r="B9" s="358" t="s">
        <v>375</v>
      </c>
      <c r="C9" s="128">
        <v>2100000</v>
      </c>
      <c r="D9" s="358" t="s">
        <v>403</v>
      </c>
    </row>
    <row r="10" spans="1:4" s="129" customFormat="1" ht="36.75" customHeight="1">
      <c r="A10" s="89" t="s">
        <v>199</v>
      </c>
      <c r="B10" s="320" t="s">
        <v>238</v>
      </c>
      <c r="C10" s="321">
        <v>728117.5</v>
      </c>
      <c r="D10" s="320" t="s">
        <v>298</v>
      </c>
    </row>
    <row r="11" spans="1:5" s="129" customFormat="1" ht="36.75" customHeight="1">
      <c r="A11" s="94" t="s">
        <v>232</v>
      </c>
      <c r="B11" s="358" t="s">
        <v>294</v>
      </c>
      <c r="C11" s="128">
        <v>19125000</v>
      </c>
      <c r="D11" s="358" t="s">
        <v>521</v>
      </c>
      <c r="E11" s="333"/>
    </row>
    <row r="12" spans="1:4" s="129" customFormat="1" ht="36.75" customHeight="1">
      <c r="A12" s="89" t="s">
        <v>460</v>
      </c>
      <c r="B12" s="320" t="s">
        <v>330</v>
      </c>
      <c r="C12" s="321">
        <v>103744.75</v>
      </c>
      <c r="D12" s="320" t="s">
        <v>331</v>
      </c>
    </row>
    <row r="13" spans="1:5" s="129" customFormat="1" ht="36.75" customHeight="1">
      <c r="A13" s="94" t="s">
        <v>459</v>
      </c>
      <c r="B13" s="358" t="s">
        <v>330</v>
      </c>
      <c r="C13" s="128">
        <v>296726.12</v>
      </c>
      <c r="D13" s="358" t="s">
        <v>331</v>
      </c>
      <c r="E13" s="333"/>
    </row>
    <row r="14" spans="1:4" s="129" customFormat="1" ht="36.75" customHeight="1">
      <c r="A14" s="89" t="s">
        <v>461</v>
      </c>
      <c r="B14" s="320" t="s">
        <v>330</v>
      </c>
      <c r="C14" s="321">
        <v>117548</v>
      </c>
      <c r="D14" s="320" t="s">
        <v>331</v>
      </c>
    </row>
    <row r="15" spans="1:4" s="129" customFormat="1" ht="36.75" customHeight="1">
      <c r="A15" s="94" t="s">
        <v>462</v>
      </c>
      <c r="B15" s="358" t="s">
        <v>330</v>
      </c>
      <c r="C15" s="128">
        <v>208950</v>
      </c>
      <c r="D15" s="358" t="s">
        <v>331</v>
      </c>
    </row>
    <row r="16" spans="1:4" s="129" customFormat="1" ht="36.75" customHeight="1">
      <c r="A16" s="89" t="s">
        <v>463</v>
      </c>
      <c r="B16" s="320" t="s">
        <v>330</v>
      </c>
      <c r="C16" s="321">
        <v>133675.86</v>
      </c>
      <c r="D16" s="320" t="s">
        <v>331</v>
      </c>
    </row>
    <row r="17" spans="1:4" s="129" customFormat="1" ht="36.75" customHeight="1">
      <c r="A17" s="94" t="s">
        <v>464</v>
      </c>
      <c r="B17" s="358" t="s">
        <v>330</v>
      </c>
      <c r="C17" s="128">
        <v>9975</v>
      </c>
      <c r="D17" s="358" t="s">
        <v>331</v>
      </c>
    </row>
    <row r="18" spans="1:4" s="129" customFormat="1" ht="36.75" customHeight="1">
      <c r="A18" s="89" t="s">
        <v>465</v>
      </c>
      <c r="B18" s="320" t="s">
        <v>330</v>
      </c>
      <c r="C18" s="321">
        <v>1192718.4</v>
      </c>
      <c r="D18" s="320" t="s">
        <v>331</v>
      </c>
    </row>
    <row r="19" spans="1:4" s="129" customFormat="1" ht="36.75" customHeight="1">
      <c r="A19" s="94" t="s">
        <v>466</v>
      </c>
      <c r="B19" s="358" t="s">
        <v>330</v>
      </c>
      <c r="C19" s="128">
        <v>58078.13</v>
      </c>
      <c r="D19" s="358" t="s">
        <v>331</v>
      </c>
    </row>
    <row r="20" spans="1:4" s="129" customFormat="1" ht="36.75" customHeight="1">
      <c r="A20" s="89" t="s">
        <v>467</v>
      </c>
      <c r="B20" s="320" t="s">
        <v>330</v>
      </c>
      <c r="C20" s="321">
        <v>3039.75</v>
      </c>
      <c r="D20" s="320" t="s">
        <v>331</v>
      </c>
    </row>
    <row r="21" spans="1:4" s="129" customFormat="1" ht="36.75" customHeight="1">
      <c r="A21" s="94" t="s">
        <v>376</v>
      </c>
      <c r="B21" s="358" t="s">
        <v>330</v>
      </c>
      <c r="C21" s="128">
        <v>686910</v>
      </c>
      <c r="D21" s="358" t="s">
        <v>331</v>
      </c>
    </row>
    <row r="22" spans="1:4" s="129" customFormat="1" ht="36.75" customHeight="1">
      <c r="A22" s="89" t="s">
        <v>468</v>
      </c>
      <c r="B22" s="320" t="s">
        <v>330</v>
      </c>
      <c r="C22" s="321">
        <v>5229835.39</v>
      </c>
      <c r="D22" s="320" t="s">
        <v>331</v>
      </c>
    </row>
    <row r="23" spans="1:4" s="129" customFormat="1" ht="36.75" customHeight="1">
      <c r="A23" s="94" t="s">
        <v>469</v>
      </c>
      <c r="B23" s="358" t="s">
        <v>330</v>
      </c>
      <c r="C23" s="128">
        <v>212100</v>
      </c>
      <c r="D23" s="358" t="s">
        <v>331</v>
      </c>
    </row>
    <row r="24" spans="1:4" s="129" customFormat="1" ht="36.75" customHeight="1">
      <c r="A24" s="89" t="s">
        <v>199</v>
      </c>
      <c r="B24" s="320" t="s">
        <v>330</v>
      </c>
      <c r="C24" s="321">
        <f>11745924.68+773.92</f>
        <v>11746698.6</v>
      </c>
      <c r="D24" s="320" t="s">
        <v>331</v>
      </c>
    </row>
    <row r="25" spans="1:4" s="129" customFormat="1" ht="36.75" customHeight="1">
      <c r="A25" s="94" t="s">
        <v>232</v>
      </c>
      <c r="B25" s="358" t="s">
        <v>330</v>
      </c>
      <c r="C25" s="128">
        <v>35099004</v>
      </c>
      <c r="D25" s="358" t="s">
        <v>331</v>
      </c>
    </row>
    <row r="26" spans="1:4" s="129" customFormat="1" ht="36" customHeight="1">
      <c r="A26" s="89" t="s">
        <v>232</v>
      </c>
      <c r="B26" s="320" t="s">
        <v>289</v>
      </c>
      <c r="C26" s="321">
        <v>24397653.5</v>
      </c>
      <c r="D26" s="320" t="s">
        <v>290</v>
      </c>
    </row>
    <row r="27" spans="1:4" s="129" customFormat="1" ht="42" customHeight="1">
      <c r="A27" s="94" t="s">
        <v>232</v>
      </c>
      <c r="B27" s="358" t="s">
        <v>296</v>
      </c>
      <c r="C27" s="128">
        <v>11710155.2</v>
      </c>
      <c r="D27" s="358" t="s">
        <v>297</v>
      </c>
    </row>
    <row r="28" spans="1:4" s="129" customFormat="1" ht="60" customHeight="1">
      <c r="A28" s="94" t="s">
        <v>287</v>
      </c>
      <c r="B28" s="358" t="s">
        <v>198</v>
      </c>
      <c r="C28" s="128">
        <v>2121548.73</v>
      </c>
      <c r="D28" s="358" t="s">
        <v>288</v>
      </c>
    </row>
    <row r="29" spans="1:4" s="129" customFormat="1" ht="60.75" customHeight="1">
      <c r="A29" s="89" t="s">
        <v>374</v>
      </c>
      <c r="B29" s="320" t="s">
        <v>373</v>
      </c>
      <c r="C29" s="321">
        <v>17328600</v>
      </c>
      <c r="D29" s="320" t="s">
        <v>522</v>
      </c>
    </row>
    <row r="30" spans="1:4" s="129" customFormat="1" ht="60.75" customHeight="1">
      <c r="A30" s="94" t="s">
        <v>346</v>
      </c>
      <c r="B30" s="358" t="s">
        <v>347</v>
      </c>
      <c r="C30" s="128">
        <v>48115254.2</v>
      </c>
      <c r="D30" s="358" t="s">
        <v>348</v>
      </c>
    </row>
    <row r="31" spans="1:4" s="129" customFormat="1" ht="60.75" customHeight="1">
      <c r="A31" s="89" t="s">
        <v>356</v>
      </c>
      <c r="B31" s="320" t="s">
        <v>355</v>
      </c>
      <c r="C31" s="321">
        <v>15000000</v>
      </c>
      <c r="D31" s="320" t="s">
        <v>357</v>
      </c>
    </row>
    <row r="32" spans="1:4" s="129" customFormat="1" ht="42" customHeight="1">
      <c r="A32" s="94" t="s">
        <v>231</v>
      </c>
      <c r="B32" s="358" t="s">
        <v>245</v>
      </c>
      <c r="C32" s="128">
        <f>8460853.94+19.68</f>
        <v>8460873.62</v>
      </c>
      <c r="D32" s="358" t="s">
        <v>290</v>
      </c>
    </row>
    <row r="33" spans="1:4" s="129" customFormat="1" ht="30" customHeight="1">
      <c r="A33" s="89" t="s">
        <v>232</v>
      </c>
      <c r="B33" s="320" t="s">
        <v>473</v>
      </c>
      <c r="C33" s="321">
        <v>150000000</v>
      </c>
      <c r="D33" s="320" t="s">
        <v>520</v>
      </c>
    </row>
    <row r="34" spans="1:5" s="129" customFormat="1" ht="27" customHeight="1">
      <c r="A34" s="94" t="s">
        <v>374</v>
      </c>
      <c r="B34" s="358" t="s">
        <v>498</v>
      </c>
      <c r="C34" s="128">
        <v>22000000</v>
      </c>
      <c r="D34" s="358" t="s">
        <v>499</v>
      </c>
      <c r="E34" s="333"/>
    </row>
    <row r="35" spans="1:4" s="129" customFormat="1" ht="41.25" customHeight="1">
      <c r="A35" s="89" t="s">
        <v>231</v>
      </c>
      <c r="B35" s="320" t="s">
        <v>497</v>
      </c>
      <c r="C35" s="321">
        <v>25000000</v>
      </c>
      <c r="D35" s="320" t="s">
        <v>496</v>
      </c>
    </row>
    <row r="36" spans="1:4" s="129" customFormat="1" ht="41.25" customHeight="1">
      <c r="A36" s="94" t="s">
        <v>501</v>
      </c>
      <c r="B36" s="358" t="s">
        <v>553</v>
      </c>
      <c r="C36" s="128">
        <f>6000*620</f>
        <v>3720000</v>
      </c>
      <c r="D36" s="358" t="s">
        <v>573</v>
      </c>
    </row>
    <row r="37" spans="1:4" s="129" customFormat="1" ht="37.5" customHeight="1">
      <c r="A37" s="89" t="s">
        <v>395</v>
      </c>
      <c r="B37" s="320" t="s">
        <v>396</v>
      </c>
      <c r="C37" s="321">
        <v>41226855.25</v>
      </c>
      <c r="D37" s="320" t="s">
        <v>397</v>
      </c>
    </row>
    <row r="38" spans="1:4" s="129" customFormat="1" ht="42" customHeight="1">
      <c r="A38" s="94" t="s">
        <v>299</v>
      </c>
      <c r="B38" s="358" t="s">
        <v>300</v>
      </c>
      <c r="C38" s="128">
        <v>75000000</v>
      </c>
      <c r="D38" s="358" t="s">
        <v>297</v>
      </c>
    </row>
    <row r="39" spans="1:4" s="129" customFormat="1" ht="27" customHeight="1">
      <c r="A39" s="89" t="s">
        <v>230</v>
      </c>
      <c r="B39" s="320" t="s">
        <v>291</v>
      </c>
      <c r="C39" s="321">
        <v>16072646.55</v>
      </c>
      <c r="D39" s="320" t="s">
        <v>292</v>
      </c>
    </row>
    <row r="40" spans="1:4" s="129" customFormat="1" ht="41.25" customHeight="1">
      <c r="A40" s="94" t="s">
        <v>230</v>
      </c>
      <c r="B40" s="358" t="s">
        <v>293</v>
      </c>
      <c r="C40" s="128">
        <v>40000000</v>
      </c>
      <c r="D40" s="358" t="s">
        <v>495</v>
      </c>
    </row>
    <row r="41" spans="1:4" s="129" customFormat="1" ht="45.75" customHeight="1">
      <c r="A41" s="89" t="s">
        <v>230</v>
      </c>
      <c r="B41" s="320" t="s">
        <v>372</v>
      </c>
      <c r="C41" s="321">
        <v>20000000</v>
      </c>
      <c r="D41" s="320" t="s">
        <v>494</v>
      </c>
    </row>
    <row r="42" spans="1:4" s="129" customFormat="1" ht="40.5" customHeight="1">
      <c r="A42" s="94" t="s">
        <v>230</v>
      </c>
      <c r="B42" s="358" t="s">
        <v>504</v>
      </c>
      <c r="C42" s="128">
        <v>15000000</v>
      </c>
      <c r="D42" s="358"/>
    </row>
    <row r="43" spans="1:4" s="129" customFormat="1" ht="38.25" customHeight="1">
      <c r="A43" s="89" t="s">
        <v>470</v>
      </c>
      <c r="B43" s="320" t="s">
        <v>471</v>
      </c>
      <c r="C43" s="321">
        <v>18500000</v>
      </c>
      <c r="D43" s="320" t="s">
        <v>472</v>
      </c>
    </row>
    <row r="44" spans="1:4" s="129" customFormat="1" ht="39.75" customHeight="1">
      <c r="A44" s="94" t="s">
        <v>274</v>
      </c>
      <c r="B44" s="358" t="s">
        <v>304</v>
      </c>
      <c r="C44" s="128">
        <v>28174264.6</v>
      </c>
      <c r="D44" s="358" t="s">
        <v>305</v>
      </c>
    </row>
    <row r="45" spans="1:4" s="129" customFormat="1" ht="39.75" customHeight="1">
      <c r="A45" s="89" t="s">
        <v>409</v>
      </c>
      <c r="B45" s="320" t="s">
        <v>396</v>
      </c>
      <c r="C45" s="321">
        <v>45000000</v>
      </c>
      <c r="D45" s="320" t="s">
        <v>578</v>
      </c>
    </row>
    <row r="46" spans="1:4" s="129" customFormat="1" ht="31.5" customHeight="1">
      <c r="A46" s="89" t="s">
        <v>409</v>
      </c>
      <c r="B46" s="320" t="s">
        <v>396</v>
      </c>
      <c r="C46" s="321">
        <v>54619283.99</v>
      </c>
      <c r="D46" s="320" t="s">
        <v>410</v>
      </c>
    </row>
    <row r="47" spans="1:4" ht="20.25" customHeight="1" thickBot="1">
      <c r="A47" s="430" t="s">
        <v>16</v>
      </c>
      <c r="B47" s="431"/>
      <c r="C47" s="130">
        <f>SUM(C6:C46)</f>
        <v>768594492.49</v>
      </c>
      <c r="D47" s="131"/>
    </row>
    <row r="48" ht="14.25">
      <c r="D48" s="123"/>
    </row>
    <row r="49" ht="14.25">
      <c r="D49" s="123"/>
    </row>
    <row r="50" ht="14.25">
      <c r="D50" s="123"/>
    </row>
    <row r="51" ht="14.25">
      <c r="D51" s="123"/>
    </row>
    <row r="52" ht="14.25">
      <c r="D52" s="123"/>
    </row>
    <row r="53" ht="14.25">
      <c r="D53" s="123"/>
    </row>
    <row r="54" ht="14.25">
      <c r="D54" s="123"/>
    </row>
    <row r="55" ht="14.25">
      <c r="D55" s="123"/>
    </row>
  </sheetData>
  <sheetProtection/>
  <mergeCells count="3">
    <mergeCell ref="A1:D1"/>
    <mergeCell ref="A2:D2"/>
    <mergeCell ref="A47:B47"/>
  </mergeCells>
  <printOptions horizontalCentered="1"/>
  <pageMargins left="0.1968503937007874" right="0.1968503937007874" top="0.3937007874015748" bottom="0.3937007874015748" header="0" footer="0"/>
  <pageSetup horizontalDpi="600" verticalDpi="600" orientation="landscape" scale="80" r:id="rId2"/>
  <drawing r:id="rId1"/>
</worksheet>
</file>

<file path=xl/worksheets/sheet7.xml><?xml version="1.0" encoding="utf-8"?>
<worksheet xmlns="http://schemas.openxmlformats.org/spreadsheetml/2006/main" xmlns:r="http://schemas.openxmlformats.org/officeDocument/2006/relationships">
  <dimension ref="A1:F51"/>
  <sheetViews>
    <sheetView showGridLines="0" zoomScale="110" zoomScaleNormal="110" zoomScalePageLayoutView="0" workbookViewId="0" topLeftCell="A1">
      <selection activeCell="B7" sqref="B7"/>
    </sheetView>
  </sheetViews>
  <sheetFormatPr defaultColWidth="11.421875" defaultRowHeight="12.75"/>
  <cols>
    <col min="1" max="1" width="20.421875" style="142" customWidth="1"/>
    <col min="2" max="2" width="60.57421875" style="143" customWidth="1"/>
    <col min="3" max="3" width="21.28125" style="147" customWidth="1"/>
    <col min="4" max="4" width="52.8515625" style="142" customWidth="1"/>
    <col min="5" max="5" width="11.421875" style="134" customWidth="1"/>
    <col min="6" max="6" width="13.7109375" style="134" bestFit="1" customWidth="1"/>
    <col min="7" max="7" width="12.7109375" style="134" bestFit="1" customWidth="1"/>
    <col min="8" max="16384" width="11.421875" style="134" customWidth="1"/>
  </cols>
  <sheetData>
    <row r="1" spans="1:4" ht="23.25" customHeight="1">
      <c r="A1" s="432" t="s">
        <v>140</v>
      </c>
      <c r="B1" s="432"/>
      <c r="C1" s="432"/>
      <c r="D1" s="432"/>
    </row>
    <row r="2" spans="1:4" ht="16.5" customHeight="1">
      <c r="A2" s="432" t="s">
        <v>576</v>
      </c>
      <c r="B2" s="432"/>
      <c r="C2" s="432"/>
      <c r="D2" s="432"/>
    </row>
    <row r="3" spans="1:4" ht="12.75" customHeight="1" thickBot="1">
      <c r="A3" s="133"/>
      <c r="B3" s="133"/>
      <c r="C3" s="144"/>
      <c r="D3" s="133"/>
    </row>
    <row r="4" spans="1:4" ht="35.25" customHeight="1" thickBot="1">
      <c r="A4" s="135" t="s">
        <v>120</v>
      </c>
      <c r="B4" s="135" t="s">
        <v>77</v>
      </c>
      <c r="C4" s="135" t="s">
        <v>12</v>
      </c>
      <c r="D4" s="135" t="s">
        <v>13</v>
      </c>
    </row>
    <row r="5" spans="1:6" ht="12.75">
      <c r="A5" s="136"/>
      <c r="B5" s="137"/>
      <c r="C5" s="145">
        <f>SUM(C6:C23)</f>
        <v>0</v>
      </c>
      <c r="D5" s="138"/>
      <c r="F5" s="139"/>
    </row>
    <row r="6" spans="1:4" ht="30.75" customHeight="1">
      <c r="A6" s="483" t="s">
        <v>225</v>
      </c>
      <c r="B6" s="484" t="s">
        <v>308</v>
      </c>
      <c r="C6" s="485"/>
      <c r="D6" s="486" t="s">
        <v>586</v>
      </c>
    </row>
    <row r="7" spans="1:4" ht="32.25" customHeight="1">
      <c r="A7" s="483" t="s">
        <v>225</v>
      </c>
      <c r="B7" s="484" t="s">
        <v>228</v>
      </c>
      <c r="C7" s="485"/>
      <c r="D7" s="487" t="str">
        <f>+D6</f>
        <v>El proyecto fue excluído del presupuesto según Oficio N°17412</v>
      </c>
    </row>
    <row r="8" spans="1:4" ht="33" customHeight="1">
      <c r="A8" s="483" t="s">
        <v>323</v>
      </c>
      <c r="B8" s="484" t="s">
        <v>312</v>
      </c>
      <c r="C8" s="485"/>
      <c r="D8" s="486" t="s">
        <v>586</v>
      </c>
    </row>
    <row r="9" spans="1:4" ht="32.25" customHeight="1">
      <c r="A9" s="483" t="s">
        <v>322</v>
      </c>
      <c r="B9" s="484" t="s">
        <v>310</v>
      </c>
      <c r="C9" s="485"/>
      <c r="D9" s="487" t="str">
        <f>+D8</f>
        <v>El proyecto fue excluído del presupuesto según Oficio N°17412</v>
      </c>
    </row>
    <row r="10" spans="1:4" ht="34.5" customHeight="1">
      <c r="A10" s="483" t="s">
        <v>325</v>
      </c>
      <c r="B10" s="484" t="s">
        <v>315</v>
      </c>
      <c r="C10" s="485"/>
      <c r="D10" s="486" t="s">
        <v>586</v>
      </c>
    </row>
    <row r="11" spans="1:4" ht="33.75" customHeight="1">
      <c r="A11" s="483" t="s">
        <v>202</v>
      </c>
      <c r="B11" s="484" t="s">
        <v>309</v>
      </c>
      <c r="C11" s="485"/>
      <c r="D11" s="487" t="str">
        <f>+D10</f>
        <v>El proyecto fue excluído del presupuesto según Oficio N°17412</v>
      </c>
    </row>
    <row r="12" spans="1:4" ht="33" customHeight="1">
      <c r="A12" s="483" t="s">
        <v>202</v>
      </c>
      <c r="B12" s="484" t="s">
        <v>316</v>
      </c>
      <c r="C12" s="485"/>
      <c r="D12" s="486" t="s">
        <v>586</v>
      </c>
    </row>
    <row r="13" spans="1:4" ht="23.25" customHeight="1">
      <c r="A13" s="483" t="s">
        <v>176</v>
      </c>
      <c r="B13" s="484" t="s">
        <v>311</v>
      </c>
      <c r="C13" s="485"/>
      <c r="D13" s="487" t="str">
        <f>+D12</f>
        <v>El proyecto fue excluído del presupuesto según Oficio N°17412</v>
      </c>
    </row>
    <row r="14" spans="1:4" ht="25.5">
      <c r="A14" s="483" t="s">
        <v>176</v>
      </c>
      <c r="B14" s="484" t="s">
        <v>313</v>
      </c>
      <c r="C14" s="485"/>
      <c r="D14" s="486" t="s">
        <v>586</v>
      </c>
    </row>
    <row r="15" spans="1:4" ht="34.5" customHeight="1">
      <c r="A15" s="483" t="s">
        <v>176</v>
      </c>
      <c r="B15" s="484" t="s">
        <v>314</v>
      </c>
      <c r="C15" s="485"/>
      <c r="D15" s="487" t="str">
        <f>+D14</f>
        <v>El proyecto fue excluído del presupuesto según Oficio N°17412</v>
      </c>
    </row>
    <row r="16" spans="1:4" ht="29.25" customHeight="1">
      <c r="A16" s="483" t="s">
        <v>321</v>
      </c>
      <c r="B16" s="484" t="s">
        <v>329</v>
      </c>
      <c r="C16" s="485"/>
      <c r="D16" s="486" t="s">
        <v>586</v>
      </c>
    </row>
    <row r="17" spans="1:4" ht="22.5" customHeight="1">
      <c r="A17" s="483" t="s">
        <v>177</v>
      </c>
      <c r="B17" s="484" t="s">
        <v>306</v>
      </c>
      <c r="C17" s="485"/>
      <c r="D17" s="487" t="str">
        <f>+D16</f>
        <v>El proyecto fue excluído del presupuesto según Oficio N°17412</v>
      </c>
    </row>
    <row r="18" spans="1:4" ht="30" customHeight="1">
      <c r="A18" s="483" t="s">
        <v>177</v>
      </c>
      <c r="B18" s="484" t="s">
        <v>307</v>
      </c>
      <c r="C18" s="485"/>
      <c r="D18" s="486" t="s">
        <v>586</v>
      </c>
    </row>
    <row r="19" spans="1:4" ht="38.25" customHeight="1">
      <c r="A19" s="483" t="s">
        <v>327</v>
      </c>
      <c r="B19" s="484" t="s">
        <v>319</v>
      </c>
      <c r="C19" s="485"/>
      <c r="D19" s="487" t="str">
        <f>+D18</f>
        <v>El proyecto fue excluído del presupuesto según Oficio N°17412</v>
      </c>
    </row>
    <row r="20" spans="1:4" ht="31.5" customHeight="1">
      <c r="A20" s="483" t="s">
        <v>326</v>
      </c>
      <c r="B20" s="484" t="s">
        <v>318</v>
      </c>
      <c r="C20" s="485"/>
      <c r="D20" s="486" t="s">
        <v>586</v>
      </c>
    </row>
    <row r="21" spans="1:4" ht="28.5" customHeight="1">
      <c r="A21" s="483" t="s">
        <v>320</v>
      </c>
      <c r="B21" s="484" t="s">
        <v>142</v>
      </c>
      <c r="C21" s="485"/>
      <c r="D21" s="487" t="str">
        <f>+D20</f>
        <v>El proyecto fue excluído del presupuesto según Oficio N°17412</v>
      </c>
    </row>
    <row r="22" spans="1:4" ht="42" customHeight="1">
      <c r="A22" s="483" t="s">
        <v>324</v>
      </c>
      <c r="B22" s="484" t="s">
        <v>328</v>
      </c>
      <c r="C22" s="485"/>
      <c r="D22" s="486" t="s">
        <v>586</v>
      </c>
    </row>
    <row r="23" spans="1:4" ht="28.5" customHeight="1">
      <c r="A23" s="483" t="s">
        <v>324</v>
      </c>
      <c r="B23" s="484" t="s">
        <v>317</v>
      </c>
      <c r="C23" s="485"/>
      <c r="D23" s="487" t="str">
        <f>+D22</f>
        <v>El proyecto fue excluído del presupuesto según Oficio N°17412</v>
      </c>
    </row>
    <row r="24" spans="1:4" ht="18.75" customHeight="1">
      <c r="A24" s="433" t="s">
        <v>16</v>
      </c>
      <c r="B24" s="434"/>
      <c r="C24" s="146">
        <f>SUM(C6:C23)</f>
        <v>0</v>
      </c>
      <c r="D24" s="141"/>
    </row>
    <row r="29" ht="12.75">
      <c r="C29" s="210"/>
    </row>
    <row r="34" spans="2:4" ht="12.75">
      <c r="B34" s="134"/>
      <c r="C34" s="134"/>
      <c r="D34" s="134"/>
    </row>
    <row r="35" spans="2:4" ht="12.75">
      <c r="B35" s="134"/>
      <c r="C35" s="134"/>
      <c r="D35" s="134"/>
    </row>
    <row r="36" spans="2:4" ht="12.75">
      <c r="B36" s="134"/>
      <c r="C36" s="134"/>
      <c r="D36" s="134"/>
    </row>
    <row r="37" spans="2:4" ht="12.75">
      <c r="B37" s="134"/>
      <c r="C37" s="134"/>
      <c r="D37" s="134"/>
    </row>
    <row r="38" spans="2:4" ht="12.75">
      <c r="B38" s="134"/>
      <c r="C38" s="134"/>
      <c r="D38" s="134"/>
    </row>
    <row r="39" spans="2:4" ht="12.75">
      <c r="B39" s="134"/>
      <c r="C39" s="134"/>
      <c r="D39" s="134"/>
    </row>
    <row r="40" spans="2:4" ht="12.75">
      <c r="B40" s="134"/>
      <c r="C40" s="134"/>
      <c r="D40" s="134"/>
    </row>
    <row r="41" spans="2:4" ht="12.75">
      <c r="B41" s="134"/>
      <c r="C41" s="134"/>
      <c r="D41" s="134"/>
    </row>
    <row r="42" spans="2:4" ht="12.75">
      <c r="B42" s="134"/>
      <c r="C42" s="134"/>
      <c r="D42" s="134"/>
    </row>
    <row r="43" spans="2:4" ht="12.75">
      <c r="B43" s="134"/>
      <c r="C43" s="134"/>
      <c r="D43" s="134"/>
    </row>
    <row r="44" spans="2:4" ht="12.75">
      <c r="B44" s="134"/>
      <c r="C44" s="134"/>
      <c r="D44" s="134"/>
    </row>
    <row r="45" spans="2:4" ht="12.75">
      <c r="B45" s="134"/>
      <c r="C45" s="134"/>
      <c r="D45" s="134"/>
    </row>
    <row r="46" spans="2:4" ht="12.75">
      <c r="B46" s="134"/>
      <c r="C46" s="134"/>
      <c r="D46" s="134"/>
    </row>
    <row r="47" spans="2:4" ht="12.75">
      <c r="B47" s="134"/>
      <c r="C47" s="134"/>
      <c r="D47" s="134"/>
    </row>
    <row r="48" spans="2:4" ht="12.75">
      <c r="B48" s="134"/>
      <c r="C48" s="134"/>
      <c r="D48" s="134"/>
    </row>
    <row r="49" spans="2:4" ht="12.75">
      <c r="B49" s="134"/>
      <c r="C49" s="134"/>
      <c r="D49" s="134"/>
    </row>
    <row r="50" spans="2:4" ht="12.75">
      <c r="B50" s="134"/>
      <c r="C50" s="134"/>
      <c r="D50" s="134"/>
    </row>
    <row r="51" spans="2:4" ht="12.75">
      <c r="B51" s="134"/>
      <c r="C51" s="134"/>
      <c r="D51" s="134"/>
    </row>
  </sheetData>
  <sheetProtection/>
  <mergeCells count="3">
    <mergeCell ref="A1:D1"/>
    <mergeCell ref="A2:D2"/>
    <mergeCell ref="A24:B24"/>
  </mergeCells>
  <printOptions horizontalCentered="1"/>
  <pageMargins left="0.3937007874015748" right="0.3937007874015748" top="0.3937007874015748" bottom="0.3937007874015748" header="0" footer="0"/>
  <pageSetup horizontalDpi="600" verticalDpi="600" orientation="landscape" scale="80" r:id="rId2"/>
  <drawing r:id="rId1"/>
</worksheet>
</file>

<file path=xl/worksheets/sheet8.xml><?xml version="1.0" encoding="utf-8"?>
<worksheet xmlns="http://schemas.openxmlformats.org/spreadsheetml/2006/main" xmlns:r="http://schemas.openxmlformats.org/officeDocument/2006/relationships">
  <sheetPr>
    <tabColor indexed="57"/>
  </sheetPr>
  <dimension ref="A1:M94"/>
  <sheetViews>
    <sheetView showGridLines="0" zoomScalePageLayoutView="0" workbookViewId="0" topLeftCell="A1">
      <selection activeCell="G93" sqref="G93"/>
    </sheetView>
  </sheetViews>
  <sheetFormatPr defaultColWidth="11.421875" defaultRowHeight="12.75"/>
  <cols>
    <col min="1" max="1" width="13.57421875" style="173" customWidth="1"/>
    <col min="2" max="2" width="31.28125" style="174" customWidth="1"/>
    <col min="3" max="3" width="19.8515625" style="67" customWidth="1"/>
    <col min="4" max="4" width="7.57421875" style="347" customWidth="1"/>
    <col min="5" max="5" width="18.28125" style="67" customWidth="1"/>
    <col min="6" max="6" width="8.00390625" style="347" customWidth="1"/>
    <col min="7" max="7" width="20.28125" style="67" customWidth="1"/>
    <col min="8" max="8" width="7.28125" style="347" customWidth="1"/>
    <col min="9" max="9" width="19.00390625" style="67" customWidth="1"/>
    <col min="10" max="10" width="7.8515625" style="349" customWidth="1"/>
    <col min="11" max="11" width="20.8515625" style="175" customWidth="1"/>
    <col min="12" max="12" width="12.57421875" style="349" customWidth="1"/>
    <col min="13" max="13" width="32.8515625" style="65" customWidth="1"/>
    <col min="14" max="14" width="16.57421875" style="65" bestFit="1" customWidth="1"/>
    <col min="15" max="16384" width="11.421875" style="65" customWidth="1"/>
  </cols>
  <sheetData>
    <row r="1" spans="1:12" ht="12.75">
      <c r="A1" s="435" t="s">
        <v>17</v>
      </c>
      <c r="B1" s="435"/>
      <c r="C1" s="435"/>
      <c r="D1" s="435"/>
      <c r="E1" s="435"/>
      <c r="F1" s="435"/>
      <c r="G1" s="435"/>
      <c r="H1" s="435"/>
      <c r="I1" s="435"/>
      <c r="J1" s="435"/>
      <c r="K1" s="435"/>
      <c r="L1" s="435"/>
    </row>
    <row r="2" spans="1:12" ht="12.75">
      <c r="A2" s="436" t="s">
        <v>576</v>
      </c>
      <c r="B2" s="436"/>
      <c r="C2" s="436"/>
      <c r="D2" s="436"/>
      <c r="E2" s="436"/>
      <c r="F2" s="436"/>
      <c r="G2" s="436"/>
      <c r="H2" s="436"/>
      <c r="I2" s="436"/>
      <c r="J2" s="436"/>
      <c r="K2" s="436"/>
      <c r="L2" s="436"/>
    </row>
    <row r="3" spans="1:12" ht="12.75">
      <c r="A3" s="437" t="s">
        <v>78</v>
      </c>
      <c r="B3" s="437"/>
      <c r="C3" s="437"/>
      <c r="D3" s="437"/>
      <c r="E3" s="437"/>
      <c r="F3" s="437"/>
      <c r="G3" s="437"/>
      <c r="H3" s="437"/>
      <c r="I3" s="437"/>
      <c r="J3" s="437"/>
      <c r="K3" s="437"/>
      <c r="L3" s="437"/>
    </row>
    <row r="4" spans="1:12" ht="12.75">
      <c r="A4" s="150"/>
      <c r="B4" s="150"/>
      <c r="C4" s="150"/>
      <c r="D4" s="340"/>
      <c r="E4" s="272">
        <f>+'Prog-II Detalle'!C5-'Gral y X Prog.'!E7</f>
        <v>0</v>
      </c>
      <c r="F4" s="340"/>
      <c r="G4" s="150"/>
      <c r="H4" s="340"/>
      <c r="I4" s="150"/>
      <c r="J4" s="340"/>
      <c r="K4" s="272"/>
      <c r="L4" s="340"/>
    </row>
    <row r="5" spans="1:13" ht="13.5" thickBot="1">
      <c r="A5" s="150"/>
      <c r="B5" s="150"/>
      <c r="C5" s="150"/>
      <c r="D5" s="340"/>
      <c r="E5" s="150"/>
      <c r="F5" s="340"/>
      <c r="G5" s="150"/>
      <c r="H5" s="340"/>
      <c r="I5" s="150"/>
      <c r="J5" s="340"/>
      <c r="K5" s="272"/>
      <c r="L5" s="340"/>
      <c r="M5" s="67"/>
    </row>
    <row r="6" spans="1:13" ht="49.5" customHeight="1" thickBot="1">
      <c r="A6" s="151" t="s">
        <v>18</v>
      </c>
      <c r="B6" s="152" t="s">
        <v>19</v>
      </c>
      <c r="C6" s="153" t="s">
        <v>47</v>
      </c>
      <c r="D6" s="341"/>
      <c r="E6" s="153" t="s">
        <v>66</v>
      </c>
      <c r="F6" s="341" t="s">
        <v>34</v>
      </c>
      <c r="G6" s="153" t="s">
        <v>67</v>
      </c>
      <c r="H6" s="155" t="s">
        <v>34</v>
      </c>
      <c r="I6" s="154" t="s">
        <v>118</v>
      </c>
      <c r="J6" s="155" t="s">
        <v>34</v>
      </c>
      <c r="K6" s="153" t="s">
        <v>68</v>
      </c>
      <c r="L6" s="155" t="s">
        <v>34</v>
      </c>
      <c r="M6" s="67"/>
    </row>
    <row r="7" spans="1:13" ht="12.75">
      <c r="A7" s="156"/>
      <c r="B7" s="157" t="s">
        <v>35</v>
      </c>
      <c r="C7" s="158">
        <f>+C9+C27+C43+C59+C61+C75+C83+C87</f>
        <v>165972882.17</v>
      </c>
      <c r="D7" s="342"/>
      <c r="E7" s="158">
        <f>+E9+E27+E43+E59+E61+E75+E83</f>
        <v>336274811.63</v>
      </c>
      <c r="F7" s="342"/>
      <c r="G7" s="158">
        <f>+G9+G27+G43+G59+G61+G75+G83++G87+G89</f>
        <v>768594492.49</v>
      </c>
      <c r="H7" s="342"/>
      <c r="I7" s="158">
        <f>+I9+I27+I43+I59+I61+I75+I83+I87+I89</f>
        <v>0</v>
      </c>
      <c r="J7" s="342"/>
      <c r="K7" s="158">
        <f>C7+E7+G7+I7</f>
        <v>1270842186.29</v>
      </c>
      <c r="L7" s="350">
        <f>+L9+L27+L43+L59+L61+L75+L83+L87+L89</f>
        <v>1</v>
      </c>
      <c r="M7" s="67">
        <f>+Ingresos!C16-'Gral y X Prog.'!K7</f>
        <v>0</v>
      </c>
    </row>
    <row r="8" spans="1:13" ht="12.75">
      <c r="A8" s="351"/>
      <c r="B8" s="352"/>
      <c r="C8" s="356">
        <f>+C7/K7</f>
        <v>0.13060070240076668</v>
      </c>
      <c r="D8" s="354"/>
      <c r="E8" s="356">
        <f>+E7/K7</f>
        <v>0.2646078445126968</v>
      </c>
      <c r="F8" s="354"/>
      <c r="G8" s="356">
        <f>+G7/K7</f>
        <v>0.6047914530865365</v>
      </c>
      <c r="H8" s="354"/>
      <c r="I8" s="356">
        <f>+I7/K7</f>
        <v>0</v>
      </c>
      <c r="J8" s="354"/>
      <c r="K8" s="353"/>
      <c r="L8" s="355"/>
      <c r="M8" s="67"/>
    </row>
    <row r="9" spans="1:13" s="161" customFormat="1" ht="16.5" customHeight="1">
      <c r="A9" s="176">
        <v>0</v>
      </c>
      <c r="B9" s="177" t="s">
        <v>107</v>
      </c>
      <c r="C9" s="159">
        <f>SUM(C10:C26)</f>
        <v>92360893.41</v>
      </c>
      <c r="D9" s="348">
        <f>+SUM(D10:D25)</f>
        <v>0.5234041385207814</v>
      </c>
      <c r="E9" s="159">
        <f>SUM(E10:E26)</f>
        <v>17178002.08</v>
      </c>
      <c r="F9" s="160">
        <f>+SUM(F10:F25)</f>
        <v>0.04955340544011592</v>
      </c>
      <c r="G9" s="159">
        <f>SUM(G18:G20)</f>
        <v>0</v>
      </c>
      <c r="H9" s="348">
        <f>+SUM(H10:H25)</f>
        <v>0</v>
      </c>
      <c r="I9" s="159">
        <f>SUM(I18:I20)</f>
        <v>0</v>
      </c>
      <c r="J9" s="348"/>
      <c r="K9" s="159">
        <f>+C9++E9++G9+I9</f>
        <v>109538895.49</v>
      </c>
      <c r="L9" s="160">
        <f>+K9/$K$7</f>
        <v>0.08619394026395953</v>
      </c>
      <c r="M9" s="280"/>
    </row>
    <row r="10" spans="1:13" ht="19.5" customHeight="1">
      <c r="A10" s="162" t="s">
        <v>595</v>
      </c>
      <c r="B10" s="273" t="s">
        <v>589</v>
      </c>
      <c r="C10" s="164">
        <f>SUMIF('Prog-I Detalle'!$A$6:$A$19,A10,'Prog-I Detalle'!$C$6:$C$19)</f>
        <v>27720000</v>
      </c>
      <c r="D10" s="343">
        <f>+C10/$C$7</f>
        <v>0.1670152354865261</v>
      </c>
      <c r="E10" s="164">
        <f>SUMIF('Prog-II Detalle'!$A$6:$A$53,A10,'Prog-II Detalle'!$C$6:$C$53)</f>
        <v>0</v>
      </c>
      <c r="F10" s="343">
        <f>+E10/$E$7</f>
        <v>0</v>
      </c>
      <c r="G10" s="164">
        <f>SUMIF('Prog-III Detalle'!$A$6:$A$46,A10,'Prog-III Detalle'!$C$6:$C$46)</f>
        <v>0</v>
      </c>
      <c r="H10" s="343">
        <f>+G10/$G$7</f>
        <v>0</v>
      </c>
      <c r="I10" s="165">
        <f>SUMIF('Prog-IV Detalle'!$A$6:$A$18,A10,'Prog-IV Detalle'!$C$6:$C$18)</f>
        <v>0</v>
      </c>
      <c r="J10" s="343"/>
      <c r="K10" s="164">
        <f>+C10+E10+G10+I10</f>
        <v>27720000</v>
      </c>
      <c r="L10" s="357">
        <f>+K10/$K$7</f>
        <v>0.021812307066169767</v>
      </c>
      <c r="M10" s="67"/>
    </row>
    <row r="11" spans="1:13" ht="19.5" customHeight="1">
      <c r="A11" s="162" t="s">
        <v>453</v>
      </c>
      <c r="B11" s="273" t="s">
        <v>442</v>
      </c>
      <c r="C11" s="164">
        <f>SUMIF('Prog-I Detalle'!$A$6:$A$19,A11,'Prog-I Detalle'!$C$6:$C$19)</f>
        <v>0</v>
      </c>
      <c r="D11" s="343">
        <f>+C11/$C$7</f>
        <v>0</v>
      </c>
      <c r="E11" s="164">
        <f>SUMIF('Prog-II Detalle'!$A$6:$A$53,A11,'Prog-II Detalle'!$C$6:$C$53)</f>
        <v>10288800</v>
      </c>
      <c r="F11" s="343">
        <f aca="true" t="shared" si="0" ref="F11:F76">+E11/$E$7</f>
        <v>0.030596404024814887</v>
      </c>
      <c r="G11" s="164">
        <f>SUMIF('Prog-III Detalle'!$A$6:$A$46,A11,'Prog-III Detalle'!$C$6:$C$46)</f>
        <v>0</v>
      </c>
      <c r="H11" s="343">
        <f>+G11/$G$7</f>
        <v>0</v>
      </c>
      <c r="I11" s="165">
        <f>SUMIF('Prog-IV Detalle'!$A$6:$A$18,A11,'Prog-IV Detalle'!$C$6:$C$18)</f>
        <v>0</v>
      </c>
      <c r="J11" s="343"/>
      <c r="K11" s="164">
        <f>+C11+E11+G11+I11</f>
        <v>10288800</v>
      </c>
      <c r="L11" s="357">
        <f>+K11/$K$7</f>
        <v>0.008096048518845869</v>
      </c>
      <c r="M11" s="67"/>
    </row>
    <row r="12" spans="1:13" ht="19.5" customHeight="1">
      <c r="A12" s="162" t="s">
        <v>600</v>
      </c>
      <c r="B12" s="273" t="s">
        <v>591</v>
      </c>
      <c r="C12" s="164">
        <f>SUMIF('Prog-I Detalle'!$A$6:$A$19,A12,'Prog-I Detalle'!$C$6:$C$19)</f>
        <v>1260000</v>
      </c>
      <c r="D12" s="343"/>
      <c r="E12" s="164"/>
      <c r="F12" s="343">
        <f t="shared" si="0"/>
        <v>0</v>
      </c>
      <c r="G12" s="164"/>
      <c r="H12" s="343"/>
      <c r="I12" s="165"/>
      <c r="J12" s="343"/>
      <c r="K12" s="164">
        <f aca="true" t="shared" si="1" ref="K12:K26">+C12+E12+G12+I12</f>
        <v>1260000</v>
      </c>
      <c r="L12" s="357">
        <f aca="true" t="shared" si="2" ref="L12:L26">+K12/$K$7</f>
        <v>0.0009914685030077165</v>
      </c>
      <c r="M12" s="67"/>
    </row>
    <row r="13" spans="1:13" ht="19.5" customHeight="1">
      <c r="A13" s="162" t="s">
        <v>601</v>
      </c>
      <c r="B13" s="273" t="s">
        <v>592</v>
      </c>
      <c r="C13" s="164">
        <f>SUMIF('Prog-I Detalle'!$A$6:$A$19,A13,'Prog-I Detalle'!$C$6:$C$19)</f>
        <v>2790000</v>
      </c>
      <c r="D13" s="343"/>
      <c r="E13" s="164"/>
      <c r="F13" s="343">
        <f t="shared" si="0"/>
        <v>0</v>
      </c>
      <c r="G13" s="164"/>
      <c r="H13" s="343"/>
      <c r="I13" s="165"/>
      <c r="J13" s="343"/>
      <c r="K13" s="164">
        <f t="shared" si="1"/>
        <v>2790000</v>
      </c>
      <c r="L13" s="357">
        <f t="shared" si="2"/>
        <v>0.0021953945423742295</v>
      </c>
      <c r="M13" s="67"/>
    </row>
    <row r="14" spans="1:13" ht="19.5" customHeight="1">
      <c r="A14" s="162" t="s">
        <v>602</v>
      </c>
      <c r="B14" s="273" t="s">
        <v>590</v>
      </c>
      <c r="C14" s="164">
        <f>SUMIF('Prog-I Detalle'!$A$6:$A$19,A14,'Prog-I Detalle'!$C$6:$C$19)</f>
        <v>1440000</v>
      </c>
      <c r="D14" s="343"/>
      <c r="E14" s="164"/>
      <c r="F14" s="343">
        <f t="shared" si="0"/>
        <v>0</v>
      </c>
      <c r="G14" s="164"/>
      <c r="H14" s="343"/>
      <c r="I14" s="165"/>
      <c r="J14" s="343"/>
      <c r="K14" s="164">
        <f t="shared" si="1"/>
        <v>1440000</v>
      </c>
      <c r="L14" s="357">
        <f t="shared" si="2"/>
        <v>0.0011331068605802475</v>
      </c>
      <c r="M14" s="67"/>
    </row>
    <row r="15" spans="1:13" ht="19.5" customHeight="1" hidden="1">
      <c r="A15" s="162"/>
      <c r="B15" s="273"/>
      <c r="C15" s="164"/>
      <c r="D15" s="343"/>
      <c r="E15" s="164"/>
      <c r="F15" s="343">
        <f t="shared" si="0"/>
        <v>0</v>
      </c>
      <c r="G15" s="164"/>
      <c r="H15" s="343"/>
      <c r="I15" s="165"/>
      <c r="J15" s="343"/>
      <c r="K15" s="164">
        <f t="shared" si="1"/>
        <v>0</v>
      </c>
      <c r="L15" s="357">
        <f t="shared" si="2"/>
        <v>0</v>
      </c>
      <c r="M15" s="67"/>
    </row>
    <row r="16" spans="1:13" ht="19.5" customHeight="1" hidden="1">
      <c r="A16" s="162"/>
      <c r="B16" s="273"/>
      <c r="C16" s="164"/>
      <c r="D16" s="343"/>
      <c r="E16" s="164"/>
      <c r="F16" s="343">
        <f t="shared" si="0"/>
        <v>0</v>
      </c>
      <c r="G16" s="164"/>
      <c r="H16" s="343"/>
      <c r="I16" s="165"/>
      <c r="J16" s="343"/>
      <c r="K16" s="164">
        <f t="shared" si="1"/>
        <v>0</v>
      </c>
      <c r="L16" s="357">
        <f t="shared" si="2"/>
        <v>0</v>
      </c>
      <c r="M16" s="67"/>
    </row>
    <row r="17" spans="1:13" ht="19.5" customHeight="1" hidden="1">
      <c r="A17" s="162"/>
      <c r="B17" s="273"/>
      <c r="C17" s="164"/>
      <c r="D17" s="343"/>
      <c r="E17" s="164"/>
      <c r="F17" s="343">
        <f t="shared" si="0"/>
        <v>0</v>
      </c>
      <c r="G17" s="164"/>
      <c r="H17" s="343"/>
      <c r="I17" s="165"/>
      <c r="J17" s="343"/>
      <c r="K17" s="164">
        <f t="shared" si="1"/>
        <v>0</v>
      </c>
      <c r="L17" s="357">
        <f t="shared" si="2"/>
        <v>0</v>
      </c>
      <c r="M17" s="67"/>
    </row>
    <row r="18" spans="1:13" ht="19.5" customHeight="1">
      <c r="A18" s="162" t="s">
        <v>390</v>
      </c>
      <c r="B18" s="273" t="s">
        <v>391</v>
      </c>
      <c r="C18" s="164">
        <f>SUMIF('Prog-I Detalle'!$A$6:$A$19,A18,'Prog-I Detalle'!$C$6:$C$19)</f>
        <v>0</v>
      </c>
      <c r="D18" s="343">
        <f>+C18/$C$7</f>
        <v>0</v>
      </c>
      <c r="E18" s="164">
        <f>SUMIF('Prog-II Detalle'!$A$6:$A$53,A18,'Prog-II Detalle'!$C$6:$C$53)</f>
        <v>2500000</v>
      </c>
      <c r="F18" s="343">
        <f t="shared" si="0"/>
        <v>0.007434395659555752</v>
      </c>
      <c r="G18" s="164">
        <f>SUMIF('Prog-III Detalle'!$A$6:$A$46,A18,'Prog-III Detalle'!$C$6:$C$46)</f>
        <v>0</v>
      </c>
      <c r="H18" s="343">
        <f aca="true" t="shared" si="3" ref="H18:H60">+G18/$G$7</f>
        <v>0</v>
      </c>
      <c r="I18" s="165">
        <f>SUMIF('Prog-IV Detalle'!$A$6:$A$18,A18,'Prog-IV Detalle'!$C$6:$C$18)</f>
        <v>0</v>
      </c>
      <c r="J18" s="343"/>
      <c r="K18" s="164">
        <f t="shared" si="1"/>
        <v>2500000</v>
      </c>
      <c r="L18" s="357">
        <f t="shared" si="2"/>
        <v>0.0019671994107295964</v>
      </c>
      <c r="M18" s="67"/>
    </row>
    <row r="19" spans="1:13" ht="19.5" customHeight="1">
      <c r="A19" s="162" t="s">
        <v>260</v>
      </c>
      <c r="B19" s="273" t="s">
        <v>261</v>
      </c>
      <c r="C19" s="164">
        <f>SUMIF('Prog-I Detalle'!$A$6:$A$19,A19,'Prog-I Detalle'!$C$6:$C$19)</f>
        <v>0</v>
      </c>
      <c r="D19" s="343">
        <f>+C19/$C$7</f>
        <v>0</v>
      </c>
      <c r="E19" s="164">
        <f>SUMIF('Prog-II Detalle'!$A$6:$A$53,A19,'Prog-II Detalle'!$C$6:$C$53)</f>
        <v>857057.04</v>
      </c>
      <c r="F19" s="343">
        <f t="shared" si="0"/>
        <v>0.0025486804552670803</v>
      </c>
      <c r="G19" s="164">
        <f>SUMIF('Prog-III Detalle'!$A$6:$A$46,A19,'Prog-III Detalle'!$C$6:$C$46)</f>
        <v>0</v>
      </c>
      <c r="H19" s="343">
        <f t="shared" si="3"/>
        <v>0</v>
      </c>
      <c r="I19" s="165">
        <f>SUMIF('Prog-IV Detalle'!$A$6:$A$18,A19,'Prog-IV Detalle'!$C$6:$C$18)</f>
        <v>0</v>
      </c>
      <c r="J19" s="343"/>
      <c r="K19" s="164">
        <f t="shared" si="1"/>
        <v>857057.04</v>
      </c>
      <c r="L19" s="357">
        <f t="shared" si="2"/>
        <v>0.000674400841619861</v>
      </c>
      <c r="M19" s="67"/>
    </row>
    <row r="20" spans="1:12" ht="19.5" customHeight="1">
      <c r="A20" s="162" t="s">
        <v>178</v>
      </c>
      <c r="B20" s="273" t="s">
        <v>167</v>
      </c>
      <c r="C20" s="164">
        <f>SUMIF('Prog-I Detalle'!$A$6:$A$19,A20,'Prog-I Detalle'!$C$6:$C$19)</f>
        <v>0</v>
      </c>
      <c r="D20" s="343">
        <f aca="true" t="shared" si="4" ref="D20:D82">+C20/$C$7</f>
        <v>0</v>
      </c>
      <c r="E20" s="164">
        <f>SUMIF('Prog-II Detalle'!$A$6:$A$53,A20,'Prog-II Detalle'!$C$6:$C$53)</f>
        <v>1028880</v>
      </c>
      <c r="F20" s="343">
        <f t="shared" si="0"/>
        <v>0.003059640402481489</v>
      </c>
      <c r="G20" s="164">
        <f>SUMIF('Prog-III Detalle'!$A$6:$A$46,A20,'Prog-III Detalle'!$C$6:$C$46)</f>
        <v>0</v>
      </c>
      <c r="H20" s="343">
        <f t="shared" si="3"/>
        <v>0</v>
      </c>
      <c r="I20" s="165">
        <f>SUMIF('Prog-IV Detalle'!$A$6:$A$18,A20,'Prog-IV Detalle'!$C$6:$C$18)</f>
        <v>0</v>
      </c>
      <c r="J20" s="343"/>
      <c r="K20" s="164">
        <f t="shared" si="1"/>
        <v>1028880</v>
      </c>
      <c r="L20" s="357">
        <f t="shared" si="2"/>
        <v>0.0008096048518845869</v>
      </c>
    </row>
    <row r="21" spans="1:12" ht="25.5" customHeight="1">
      <c r="A21" s="162" t="s">
        <v>262</v>
      </c>
      <c r="B21" s="273" t="s">
        <v>263</v>
      </c>
      <c r="C21" s="164">
        <f>SUMIF('Prog-I Detalle'!$A$6:$A$19,A21,'Prog-I Detalle'!$C$6:$C$19)</f>
        <v>34958119</v>
      </c>
      <c r="D21" s="343">
        <f t="shared" si="4"/>
        <v>0.21062548618149363</v>
      </c>
      <c r="E21" s="164">
        <f>SUMIF('Prog-II Detalle'!$A$6:$A$53,A21,'Prog-II Detalle'!$C$6:$C$53)</f>
        <v>951714</v>
      </c>
      <c r="F21" s="343">
        <f t="shared" si="0"/>
        <v>0.002830167372295377</v>
      </c>
      <c r="G21" s="164">
        <f>SUMIF('Prog-III Detalle'!$A$6:$A$46,A21,'Prog-III Detalle'!$C$6:$C$46)</f>
        <v>0</v>
      </c>
      <c r="H21" s="343">
        <f t="shared" si="3"/>
        <v>0</v>
      </c>
      <c r="I21" s="165">
        <f>SUMIF('Prog-IV Detalle'!$A$6:$A$18,A21,'Prog-IV Detalle'!$C$6:$C$18)</f>
        <v>0</v>
      </c>
      <c r="J21" s="343"/>
      <c r="K21" s="164">
        <f t="shared" si="1"/>
        <v>35909833</v>
      </c>
      <c r="L21" s="357">
        <f t="shared" si="2"/>
        <v>0.028256720926799286</v>
      </c>
    </row>
    <row r="22" spans="1:12" ht="19.5" customHeight="1">
      <c r="A22" s="162" t="s">
        <v>264</v>
      </c>
      <c r="B22" s="273" t="s">
        <v>265</v>
      </c>
      <c r="C22" s="164">
        <f>SUMIF('Prog-I Detalle'!$A$6:$A$19,A22,'Prog-I Detalle'!$C$6:$C$19)</f>
        <v>0</v>
      </c>
      <c r="D22" s="343">
        <f t="shared" si="4"/>
        <v>0</v>
      </c>
      <c r="E22" s="164">
        <f>SUMIF('Prog-II Detalle'!$A$6:$A$53,A22,'Prog-II Detalle'!$C$6:$C$53)</f>
        <v>51444</v>
      </c>
      <c r="F22" s="343">
        <f t="shared" si="0"/>
        <v>0.00015298202012407444</v>
      </c>
      <c r="G22" s="164">
        <f>SUMIF('Prog-III Detalle'!$A$6:$A$46,A22,'Prog-III Detalle'!$C$6:$C$46)</f>
        <v>0</v>
      </c>
      <c r="H22" s="343">
        <f t="shared" si="3"/>
        <v>0</v>
      </c>
      <c r="I22" s="165">
        <f>SUMIF('Prog-IV Detalle'!$A$6:$A$18,A22,'Prog-IV Detalle'!$C$6:$C$18)</f>
        <v>0</v>
      </c>
      <c r="J22" s="343"/>
      <c r="K22" s="164">
        <f t="shared" si="1"/>
        <v>51444</v>
      </c>
      <c r="L22" s="357">
        <f t="shared" si="2"/>
        <v>4.0480242594229344E-05</v>
      </c>
    </row>
    <row r="23" spans="1:12" ht="19.5" customHeight="1">
      <c r="A23" s="162" t="s">
        <v>266</v>
      </c>
      <c r="B23" s="273" t="s">
        <v>267</v>
      </c>
      <c r="C23" s="164">
        <f>SUMIF('Prog-I Detalle'!$A$6:$A$19,A23,'Prog-I Detalle'!$C$6:$C$19)</f>
        <v>18134494</v>
      </c>
      <c r="D23" s="343">
        <f t="shared" si="4"/>
        <v>0.10926178881093056</v>
      </c>
      <c r="E23" s="164">
        <f>SUMIF('Prog-II Detalle'!$A$6:$A$53,A23,'Prog-II Detalle'!$C$6:$C$53)</f>
        <v>522671.04</v>
      </c>
      <c r="F23" s="343">
        <f t="shared" si="0"/>
        <v>0.0015542973244605963</v>
      </c>
      <c r="G23" s="164">
        <f>SUMIF('Prog-III Detalle'!$A$6:$A$46,A23,'Prog-III Detalle'!$C$6:$C$46)</f>
        <v>0</v>
      </c>
      <c r="H23" s="343">
        <f t="shared" si="3"/>
        <v>0</v>
      </c>
      <c r="I23" s="165">
        <f>SUMIF('Prog-IV Detalle'!$A$6:$A$18,A23,'Prog-IV Detalle'!$C$6:$C$18)</f>
        <v>0</v>
      </c>
      <c r="J23" s="343"/>
      <c r="K23" s="164">
        <f t="shared" si="1"/>
        <v>18657165.04</v>
      </c>
      <c r="L23" s="357">
        <f t="shared" si="2"/>
        <v>0.01468094562902913</v>
      </c>
    </row>
    <row r="24" spans="1:12" ht="29.25" customHeight="1">
      <c r="A24" s="162" t="s">
        <v>268</v>
      </c>
      <c r="B24" s="273" t="s">
        <v>269</v>
      </c>
      <c r="C24" s="164">
        <f>SUMIF('Prog-I Detalle'!$A$6:$A$19,A24,'Prog-I Detalle'!$C$6:$C$19)</f>
        <v>0</v>
      </c>
      <c r="D24" s="343">
        <f t="shared" si="4"/>
        <v>0</v>
      </c>
      <c r="E24" s="164">
        <f>SUMIF('Prog-II Detalle'!$A$6:$A$53,A24,'Prog-II Detalle'!$C$6:$C$53)</f>
        <v>154332</v>
      </c>
      <c r="F24" s="343">
        <f t="shared" si="0"/>
        <v>0.0004589460603722233</v>
      </c>
      <c r="G24" s="164">
        <f>SUMIF('Prog-III Detalle'!$A$6:$A$46,A24,'Prog-III Detalle'!$C$6:$C$46)</f>
        <v>0</v>
      </c>
      <c r="H24" s="343">
        <f t="shared" si="3"/>
        <v>0</v>
      </c>
      <c r="I24" s="165">
        <f>SUMIF('Prog-IV Detalle'!$A$6:$A$18,A24,'Prog-IV Detalle'!$C$6:$C$18)</f>
        <v>0</v>
      </c>
      <c r="J24" s="343"/>
      <c r="K24" s="164">
        <f t="shared" si="1"/>
        <v>154332</v>
      </c>
      <c r="L24" s="357">
        <f t="shared" si="2"/>
        <v>0.00012144072778268804</v>
      </c>
    </row>
    <row r="25" spans="1:12" ht="30" customHeight="1">
      <c r="A25" s="162" t="s">
        <v>270</v>
      </c>
      <c r="B25" s="273" t="s">
        <v>271</v>
      </c>
      <c r="C25" s="164">
        <f>SUMIF('Prog-I Detalle'!$A$6:$A$19,A25,'Prog-I Detalle'!$C$6:$C$19)</f>
        <v>6058280.41</v>
      </c>
      <c r="D25" s="343">
        <f t="shared" si="4"/>
        <v>0.036501628041831095</v>
      </c>
      <c r="E25" s="164">
        <f>SUMIF('Prog-II Detalle'!$A$6:$A$53,A25,'Prog-II Detalle'!$C$6:$C$53)</f>
        <v>308664</v>
      </c>
      <c r="F25" s="343">
        <f t="shared" si="0"/>
        <v>0.0009178921207444466</v>
      </c>
      <c r="G25" s="164">
        <f>SUMIF('Prog-III Detalle'!$A$6:$A$46,A25,'Prog-III Detalle'!$C$6:$C$46)</f>
        <v>0</v>
      </c>
      <c r="H25" s="343">
        <f t="shared" si="3"/>
        <v>0</v>
      </c>
      <c r="I25" s="165">
        <f>SUMIF('Prog-IV Detalle'!$A$6:$A$18,A25,'Prog-IV Detalle'!$C$6:$C$18)</f>
        <v>0</v>
      </c>
      <c r="J25" s="343"/>
      <c r="K25" s="164">
        <f t="shared" si="1"/>
        <v>6366944.41</v>
      </c>
      <c r="L25" s="357">
        <f t="shared" si="2"/>
        <v>0.00501001971660004</v>
      </c>
    </row>
    <row r="26" spans="1:12" ht="30" customHeight="1">
      <c r="A26" s="162" t="s">
        <v>534</v>
      </c>
      <c r="B26" s="273" t="s">
        <v>271</v>
      </c>
      <c r="C26" s="164">
        <f>SUMIF('Prog-I Detalle'!$A$6:$A$19,A26,'Prog-I Detalle'!$C$6:$C$19)</f>
        <v>0</v>
      </c>
      <c r="D26" s="343">
        <f t="shared" si="4"/>
        <v>0</v>
      </c>
      <c r="E26" s="164">
        <f>SUMIF('Prog-II Detalle'!$A$6:$A$53,A26,'Prog-II Detalle'!$C$6:$C$53)</f>
        <v>514440</v>
      </c>
      <c r="F26" s="343">
        <f t="shared" si="0"/>
        <v>0.0015298202012407444</v>
      </c>
      <c r="G26" s="164">
        <f>SUMIF('Prog-III Detalle'!$A$6:$A$46,A26,'Prog-III Detalle'!$C$6:$C$46)</f>
        <v>0</v>
      </c>
      <c r="H26" s="343">
        <f t="shared" si="3"/>
        <v>0</v>
      </c>
      <c r="I26" s="165">
        <f>SUMIF('Prog-IV Detalle'!$A$6:$A$18,A26,'Prog-IV Detalle'!$C$6:$C$18)</f>
        <v>0</v>
      </c>
      <c r="J26" s="343"/>
      <c r="K26" s="164">
        <f t="shared" si="1"/>
        <v>514440</v>
      </c>
      <c r="L26" s="357">
        <f t="shared" si="2"/>
        <v>0.00040480242594229343</v>
      </c>
    </row>
    <row r="27" spans="1:13" s="161" customFormat="1" ht="16.5" customHeight="1">
      <c r="A27" s="178">
        <v>1</v>
      </c>
      <c r="B27" s="179" t="s">
        <v>28</v>
      </c>
      <c r="C27" s="166">
        <f>SUM(C28:C42)</f>
        <v>34569882.1</v>
      </c>
      <c r="D27" s="344">
        <f>+SUM(D28:D42)</f>
        <v>0.20828632754952903</v>
      </c>
      <c r="E27" s="166">
        <f>SUM(E28:E42)</f>
        <v>59224940.519999996</v>
      </c>
      <c r="F27" s="344">
        <f>+SUM(F28:F42)</f>
        <v>0.17612065629573423</v>
      </c>
      <c r="G27" s="166">
        <f>SUM(G28:G42)</f>
        <v>9783000</v>
      </c>
      <c r="H27" s="344">
        <f>+SUM(H28:H42)</f>
        <v>0.012728428443854982</v>
      </c>
      <c r="I27" s="166">
        <f>SUM(I28:I42)</f>
        <v>0</v>
      </c>
      <c r="J27" s="344"/>
      <c r="K27" s="159">
        <f>+C27++E27++G27+I27</f>
        <v>103577822.62</v>
      </c>
      <c r="L27" s="160">
        <f>+K27/$K$7</f>
        <v>0.08150329264908747</v>
      </c>
      <c r="M27" s="280"/>
    </row>
    <row r="28" spans="1:12" ht="12.75">
      <c r="A28" s="162" t="s">
        <v>384</v>
      </c>
      <c r="B28" s="274" t="s">
        <v>385</v>
      </c>
      <c r="C28" s="164">
        <f>SUMIF('Prog-I Detalle'!$A$6:$A$6,A28,'Prog-I Detalle'!$C$6:$C$6)</f>
        <v>24569882.1</v>
      </c>
      <c r="D28" s="343">
        <f t="shared" si="4"/>
        <v>0.14803552109695828</v>
      </c>
      <c r="E28" s="164">
        <f>SUMIF('Prog-II Detalle'!$A$6:$A$53,A28,'Prog-II Detalle'!$C$6:$C$53)</f>
        <v>0</v>
      </c>
      <c r="F28" s="343">
        <f t="shared" si="0"/>
        <v>0</v>
      </c>
      <c r="G28" s="164">
        <f>SUMIF('Prog-III Detalle'!$A$6:$A$46,A28,'Prog-III Detalle'!$C$6:$C$46)</f>
        <v>0</v>
      </c>
      <c r="H28" s="343">
        <f t="shared" si="3"/>
        <v>0</v>
      </c>
      <c r="I28" s="165">
        <f>SUMIF('Prog-IV Detalle'!$A$6:$A$18,A28,'Prog-IV Detalle'!$C$6:$C$18)</f>
        <v>0</v>
      </c>
      <c r="J28" s="343"/>
      <c r="K28" s="164">
        <f aca="true" t="shared" si="5" ref="K28:K42">+C28+E28+G28+I28</f>
        <v>24569882.1</v>
      </c>
      <c r="L28" s="357">
        <f aca="true" t="shared" si="6" ref="L28:L42">+K28/$K$7</f>
        <v>0.019333543035526264</v>
      </c>
    </row>
    <row r="29" spans="1:12" ht="25.5">
      <c r="A29" s="162" t="s">
        <v>80</v>
      </c>
      <c r="B29" s="274" t="s">
        <v>121</v>
      </c>
      <c r="C29" s="164">
        <f>SUMIF('Prog-I Detalle'!$A$6:$A$19,A29,'Prog-I Detalle'!$C$6:$C$19)</f>
        <v>0</v>
      </c>
      <c r="D29" s="343">
        <f t="shared" si="4"/>
        <v>0</v>
      </c>
      <c r="E29" s="164">
        <f>SUMIF('Prog-II Detalle'!$A$6:$A$53,A29,'Prog-II Detalle'!$C$6:$C$53)</f>
        <v>0</v>
      </c>
      <c r="F29" s="343">
        <f t="shared" si="0"/>
        <v>0</v>
      </c>
      <c r="G29" s="164">
        <f>SUMIF('Prog-III Detalle'!$A$6:$A$46,A29,'Prog-III Detalle'!$C$6:$C$46)</f>
        <v>0</v>
      </c>
      <c r="H29" s="343">
        <f t="shared" si="3"/>
        <v>0</v>
      </c>
      <c r="I29" s="165">
        <f>SUMIF('Prog-IV Detalle'!$A$6:$A$23,A29,'Prog-IV Detalle'!$C$6:$C$23)</f>
        <v>0</v>
      </c>
      <c r="J29" s="343"/>
      <c r="K29" s="164">
        <f t="shared" si="5"/>
        <v>0</v>
      </c>
      <c r="L29" s="357">
        <f t="shared" si="6"/>
        <v>0</v>
      </c>
    </row>
    <row r="30" spans="1:12" ht="12.75">
      <c r="A30" s="162" t="s">
        <v>252</v>
      </c>
      <c r="B30" s="274" t="s">
        <v>244</v>
      </c>
      <c r="C30" s="164">
        <f>SUMIF('Prog-I Detalle'!$A$6:$A$19,A30,'Prog-I Detalle'!$C$6:$C$19)</f>
        <v>3000000</v>
      </c>
      <c r="D30" s="343">
        <f t="shared" si="4"/>
        <v>0.018075241935771227</v>
      </c>
      <c r="E30" s="164">
        <f>SUMIF('Prog-II Detalle'!$A$6:$A$53,A30,'Prog-II Detalle'!$C$6:$C$53)</f>
        <v>0</v>
      </c>
      <c r="F30" s="343">
        <f t="shared" si="0"/>
        <v>0</v>
      </c>
      <c r="G30" s="164">
        <f>SUMIF('Prog-III Detalle'!$A$6:$A$46,A30,'Prog-III Detalle'!$C$6:$C$46)</f>
        <v>0</v>
      </c>
      <c r="H30" s="343">
        <f t="shared" si="3"/>
        <v>0</v>
      </c>
      <c r="I30" s="165">
        <f>SUMIF('Prog-IV Detalle'!$A$6:$A$23,A30,'Prog-IV Detalle'!$C$6:$C$23)</f>
        <v>0</v>
      </c>
      <c r="J30" s="343"/>
      <c r="K30" s="164">
        <f t="shared" si="5"/>
        <v>3000000</v>
      </c>
      <c r="L30" s="357">
        <f t="shared" si="6"/>
        <v>0.002360639292875516</v>
      </c>
    </row>
    <row r="31" spans="1:12" ht="12.75">
      <c r="A31" s="162" t="s">
        <v>174</v>
      </c>
      <c r="B31" s="274" t="s">
        <v>257</v>
      </c>
      <c r="C31" s="164">
        <f>SUMIF('Prog-I Detalle'!$A$6:$A$19,A31,'Prog-I Detalle'!$C$6:$C$19)</f>
        <v>0</v>
      </c>
      <c r="D31" s="343">
        <f t="shared" si="4"/>
        <v>0</v>
      </c>
      <c r="E31" s="164">
        <f>SUMIF('Prog-II Detalle'!$A$6:$A$53,A31,'Prog-II Detalle'!$C$6:$C$53)</f>
        <v>336598.7</v>
      </c>
      <c r="F31" s="343">
        <f t="shared" si="0"/>
        <v>0.0010009631657168436</v>
      </c>
      <c r="G31" s="164">
        <f>SUMIF('Prog-III Detalle'!$A$6:$A$46,A31,'Prog-III Detalle'!$C$6:$C$46)</f>
        <v>0</v>
      </c>
      <c r="H31" s="343">
        <f t="shared" si="3"/>
        <v>0</v>
      </c>
      <c r="I31" s="165">
        <f>SUMIF('Prog-IV Detalle'!$A$6:$A$23,A31,'Prog-IV Detalle'!$C$6:$C$23)</f>
        <v>0</v>
      </c>
      <c r="J31" s="343"/>
      <c r="K31" s="164">
        <f t="shared" si="5"/>
        <v>336598.7</v>
      </c>
      <c r="L31" s="357">
        <f t="shared" si="6"/>
        <v>0.0002648627057169393</v>
      </c>
    </row>
    <row r="32" spans="1:12" ht="12.75">
      <c r="A32" s="162" t="s">
        <v>524</v>
      </c>
      <c r="B32" s="274" t="s">
        <v>512</v>
      </c>
      <c r="C32" s="164">
        <f>SUMIF('Prog-I Detalle'!$A$6:$A$19,A32,'Prog-I Detalle'!$C$6:$C$19)</f>
        <v>0</v>
      </c>
      <c r="D32" s="343">
        <f t="shared" si="4"/>
        <v>0</v>
      </c>
      <c r="E32" s="164">
        <f>SUMIF('Prog-II Detalle'!$A$6:$A$53,A32,'Prog-II Detalle'!$C$6:$C$53)</f>
        <v>0</v>
      </c>
      <c r="F32" s="343">
        <f t="shared" si="0"/>
        <v>0</v>
      </c>
      <c r="G32" s="164">
        <f>SUMIF('Prog-III Detalle'!$A$6:$A$46,A32,'Prog-III Detalle'!$C$6:$C$46)</f>
        <v>0</v>
      </c>
      <c r="H32" s="343">
        <f t="shared" si="3"/>
        <v>0</v>
      </c>
      <c r="I32" s="165">
        <f>SUMIF('Prog-IV Detalle'!$A$6:$A$23,A32,'Prog-IV Detalle'!$C$6:$C$23)</f>
        <v>0</v>
      </c>
      <c r="J32" s="343"/>
      <c r="K32" s="164">
        <f t="shared" si="5"/>
        <v>0</v>
      </c>
      <c r="L32" s="357">
        <f t="shared" si="6"/>
        <v>0</v>
      </c>
    </row>
    <row r="33" spans="1:12" ht="12.75">
      <c r="A33" s="162" t="s">
        <v>392</v>
      </c>
      <c r="B33" s="274" t="s">
        <v>366</v>
      </c>
      <c r="C33" s="164">
        <f>SUMIF('Prog-I Detalle'!$A$6:$A$19,A33,'Prog-I Detalle'!$C$6:$C$19)</f>
        <v>0</v>
      </c>
      <c r="D33" s="343">
        <f t="shared" si="4"/>
        <v>0</v>
      </c>
      <c r="E33" s="164">
        <f>SUMIF('Prog-II Detalle'!$A$6:$A$53,A33,'Prog-II Detalle'!$C$6:$C$53)</f>
        <v>500000</v>
      </c>
      <c r="F33" s="343">
        <f t="shared" si="0"/>
        <v>0.0014868791319111504</v>
      </c>
      <c r="G33" s="164">
        <f>SUMIF('Prog-III Detalle'!$A$6:$A$46,A33,'Prog-III Detalle'!$C$6:$C$46)</f>
        <v>0</v>
      </c>
      <c r="H33" s="343">
        <f t="shared" si="3"/>
        <v>0</v>
      </c>
      <c r="I33" s="165">
        <f>SUMIF('Prog-IV Detalle'!$A$6:$A$23,A33,'Prog-IV Detalle'!$C$6:$C$23)</f>
        <v>0</v>
      </c>
      <c r="J33" s="343"/>
      <c r="K33" s="164">
        <f t="shared" si="5"/>
        <v>500000</v>
      </c>
      <c r="L33" s="357">
        <f t="shared" si="6"/>
        <v>0.0003934398821459193</v>
      </c>
    </row>
    <row r="34" spans="1:12" ht="25.5">
      <c r="A34" s="162" t="s">
        <v>243</v>
      </c>
      <c r="B34" s="274" t="s">
        <v>389</v>
      </c>
      <c r="C34" s="164">
        <f>SUMIF('Prog-I Detalle'!$A$6:$A$19,A34,'Prog-I Detalle'!$C$6:$C$19)</f>
        <v>0</v>
      </c>
      <c r="D34" s="343">
        <f t="shared" si="4"/>
        <v>0</v>
      </c>
      <c r="E34" s="164">
        <f>SUMIF('Prog-II Detalle'!$A$6:$A$53,A34,'Prog-II Detalle'!$C$6:$C$53)</f>
        <v>0</v>
      </c>
      <c r="F34" s="343">
        <f t="shared" si="0"/>
        <v>0</v>
      </c>
      <c r="G34" s="164">
        <f>SUMIF('Prog-III Detalle'!$A$6:$A$46,A34,'Prog-III Detalle'!$C$6:$C$46)</f>
        <v>9783000</v>
      </c>
      <c r="H34" s="343">
        <f t="shared" si="3"/>
        <v>0.012728428443854982</v>
      </c>
      <c r="I34" s="165">
        <f>SUMIF('Prog-IV Detalle'!$A$6:$A$23,A34,'Prog-IV Detalle'!$C$6:$C$23)</f>
        <v>0</v>
      </c>
      <c r="J34" s="343"/>
      <c r="K34" s="164">
        <f t="shared" si="5"/>
        <v>9783000</v>
      </c>
      <c r="L34" s="357">
        <f t="shared" si="6"/>
        <v>0.0076980447340670565</v>
      </c>
    </row>
    <row r="35" spans="1:12" ht="25.5">
      <c r="A35" s="162" t="s">
        <v>195</v>
      </c>
      <c r="B35" s="274" t="s">
        <v>194</v>
      </c>
      <c r="C35" s="164">
        <f>SUMIF('Prog-I Detalle'!$A$6:$A$19,A35,'Prog-I Detalle'!$C$6:$C$19)</f>
        <v>3000000</v>
      </c>
      <c r="D35" s="343">
        <f t="shared" si="4"/>
        <v>0.018075241935771227</v>
      </c>
      <c r="E35" s="164">
        <f>SUMIF('Prog-II Detalle'!$A$6:$A$53,A35,'Prog-II Detalle'!$C$6:$C$53)</f>
        <v>500000</v>
      </c>
      <c r="F35" s="343">
        <f t="shared" si="0"/>
        <v>0.0014868791319111504</v>
      </c>
      <c r="G35" s="164">
        <f>SUMIF('Prog-III Detalle'!$A$6:$A$46,A35,'Prog-III Detalle'!$C$6:$C$46)</f>
        <v>0</v>
      </c>
      <c r="H35" s="343">
        <f t="shared" si="3"/>
        <v>0</v>
      </c>
      <c r="I35" s="165">
        <f>SUMIF('Prog-IV Detalle'!$A$6:$A$23,A35,'Prog-IV Detalle'!$C$6:$C$23)</f>
        <v>0</v>
      </c>
      <c r="J35" s="343"/>
      <c r="K35" s="164">
        <f t="shared" si="5"/>
        <v>3500000</v>
      </c>
      <c r="L35" s="357">
        <f t="shared" si="6"/>
        <v>0.0027540791750214353</v>
      </c>
    </row>
    <row r="36" spans="1:12" ht="13.5" customHeight="1">
      <c r="A36" s="162" t="s">
        <v>81</v>
      </c>
      <c r="B36" s="274" t="s">
        <v>114</v>
      </c>
      <c r="C36" s="164">
        <f>SUMIF('Prog-I Detalle'!$A$6:$A$19,A36,'Prog-I Detalle'!$C$6:$C$19)</f>
        <v>4000000</v>
      </c>
      <c r="D36" s="343">
        <f t="shared" si="4"/>
        <v>0.0241003225810283</v>
      </c>
      <c r="E36" s="164">
        <f>SUMIF('Prog-II Detalle'!$A$6:$A$53,A36,'Prog-II Detalle'!$C$6:$C$53)</f>
        <v>14094474.52</v>
      </c>
      <c r="F36" s="343">
        <f t="shared" si="0"/>
        <v>0.041913560078082855</v>
      </c>
      <c r="G36" s="164">
        <f>SUMIF('Prog-III Detalle'!$A$6:$A$46,A36,'Prog-III Detalle'!$C$6:$C$46)</f>
        <v>0</v>
      </c>
      <c r="H36" s="343">
        <f t="shared" si="3"/>
        <v>0</v>
      </c>
      <c r="I36" s="165">
        <f>SUMIF('Prog-IV Detalle'!$A$6:$A$23,A36,'Prog-IV Detalle'!$C$6:$C$23)</f>
        <v>0</v>
      </c>
      <c r="J36" s="343"/>
      <c r="K36" s="164">
        <f t="shared" si="5"/>
        <v>18094474.52</v>
      </c>
      <c r="L36" s="357">
        <f t="shared" si="6"/>
        <v>0.014238175845282279</v>
      </c>
    </row>
    <row r="37" spans="1:12" ht="13.5" customHeight="1">
      <c r="A37" s="162" t="s">
        <v>190</v>
      </c>
      <c r="B37" s="274" t="s">
        <v>186</v>
      </c>
      <c r="C37" s="164">
        <f>SUMIF('Prog-I Detalle'!$A$6:$A$19,A37,'Prog-I Detalle'!$C$6:$C$19)</f>
        <v>0</v>
      </c>
      <c r="D37" s="343">
        <f t="shared" si="4"/>
        <v>0</v>
      </c>
      <c r="E37" s="164">
        <f>SUMIF('Prog-II Detalle'!$A$6:$A$53,A37,'Prog-II Detalle'!$C$6:$C$53)</f>
        <v>150000</v>
      </c>
      <c r="F37" s="343">
        <f t="shared" si="0"/>
        <v>0.0004460637395733451</v>
      </c>
      <c r="G37" s="164">
        <f>SUMIF('Prog-III Detalle'!$A$6:$A$46,A37,'Prog-III Detalle'!$C$6:$C$46)</f>
        <v>0</v>
      </c>
      <c r="H37" s="343">
        <f t="shared" si="3"/>
        <v>0</v>
      </c>
      <c r="I37" s="165">
        <f>SUMIF('Prog-IV Detalle'!$A$6:$A$23,A37,'Prog-IV Detalle'!$C$6:$C$23)</f>
        <v>0</v>
      </c>
      <c r="J37" s="343"/>
      <c r="K37" s="164">
        <f t="shared" si="5"/>
        <v>150000</v>
      </c>
      <c r="L37" s="357">
        <f t="shared" si="6"/>
        <v>0.00011803196464377578</v>
      </c>
    </row>
    <row r="38" spans="1:12" ht="13.5" customHeight="1">
      <c r="A38" s="162" t="s">
        <v>259</v>
      </c>
      <c r="B38" s="274" t="s">
        <v>258</v>
      </c>
      <c r="C38" s="164">
        <f>SUMIF('Prog-I Detalle'!$A$6:$A$19,A38,'Prog-I Detalle'!$C$6:$C$19)</f>
        <v>0</v>
      </c>
      <c r="D38" s="343">
        <f t="shared" si="4"/>
        <v>0</v>
      </c>
      <c r="E38" s="164">
        <f>SUMIF('Prog-II Detalle'!$A$6:$A$53,A38,'Prog-II Detalle'!$C$6:$C$53)</f>
        <v>0</v>
      </c>
      <c r="F38" s="343">
        <f t="shared" si="0"/>
        <v>0</v>
      </c>
      <c r="G38" s="164">
        <f>SUMIF('Prog-III Detalle'!$A$6:$A$46,A38,'Prog-III Detalle'!$C$6:$C$46)</f>
        <v>0</v>
      </c>
      <c r="H38" s="343">
        <f t="shared" si="3"/>
        <v>0</v>
      </c>
      <c r="I38" s="165">
        <f>SUMIF('Prog-IV Detalle'!$A$6:$A$23,A38,'Prog-IV Detalle'!$C$6:$C$23)</f>
        <v>0</v>
      </c>
      <c r="J38" s="343"/>
      <c r="K38" s="164">
        <f t="shared" si="5"/>
        <v>0</v>
      </c>
      <c r="L38" s="357">
        <f t="shared" si="6"/>
        <v>0</v>
      </c>
    </row>
    <row r="39" spans="1:12" ht="13.5" customHeight="1">
      <c r="A39" s="162" t="s">
        <v>523</v>
      </c>
      <c r="B39" s="274" t="s">
        <v>510</v>
      </c>
      <c r="C39" s="164">
        <f>SUMIF('Prog-I Detalle'!$A$6:$A$19,A39,'Prog-I Detalle'!$C$6:$C$19)</f>
        <v>0</v>
      </c>
      <c r="D39" s="343">
        <f t="shared" si="4"/>
        <v>0</v>
      </c>
      <c r="E39" s="164">
        <f>SUMIF('Prog-II Detalle'!$A$6:$A$53,A39,'Prog-II Detalle'!$C$6:$C$53)</f>
        <v>600000</v>
      </c>
      <c r="F39" s="343">
        <f t="shared" si="0"/>
        <v>0.0017842549582933805</v>
      </c>
      <c r="G39" s="164">
        <f>SUMIF('Prog-III Detalle'!$A$6:$A$46,A39,'Prog-III Detalle'!$C$6:$C$46)</f>
        <v>0</v>
      </c>
      <c r="H39" s="343">
        <f t="shared" si="3"/>
        <v>0</v>
      </c>
      <c r="I39" s="165">
        <f>SUMIF('Prog-IV Detalle'!$A$6:$A$23,A39,'Prog-IV Detalle'!$C$6:$C$23)</f>
        <v>0</v>
      </c>
      <c r="J39" s="343"/>
      <c r="K39" s="164">
        <f t="shared" si="5"/>
        <v>600000</v>
      </c>
      <c r="L39" s="357">
        <f t="shared" si="6"/>
        <v>0.00047212785857510313</v>
      </c>
    </row>
    <row r="40" spans="1:12" ht="25.5">
      <c r="A40" s="162" t="s">
        <v>215</v>
      </c>
      <c r="B40" s="274" t="s">
        <v>210</v>
      </c>
      <c r="C40" s="164">
        <f>SUMIF('Prog-I Detalle'!$A$6:$A$19,A40,'Prog-I Detalle'!$C$6:$C$19)</f>
        <v>0</v>
      </c>
      <c r="D40" s="343">
        <f t="shared" si="4"/>
        <v>0</v>
      </c>
      <c r="E40" s="164">
        <f>SUMIF('Prog-II Detalle'!$A$6:$A$53,A40,'Prog-II Detalle'!$C$6:$C$53)</f>
        <v>33546800</v>
      </c>
      <c r="F40" s="343">
        <f t="shared" si="0"/>
        <v>0.09976007372479395</v>
      </c>
      <c r="G40" s="164">
        <f>SUMIF('Prog-III Detalle'!$A$6:$A$46,A40,'Prog-III Detalle'!$C$6:$C$46)</f>
        <v>0</v>
      </c>
      <c r="H40" s="343">
        <f t="shared" si="3"/>
        <v>0</v>
      </c>
      <c r="I40" s="165">
        <f>SUMIF('Prog-IV Detalle'!$A$6:$A$23,A40,'Prog-IV Detalle'!$C$6:$C$23)</f>
        <v>0</v>
      </c>
      <c r="J40" s="343"/>
      <c r="K40" s="164">
        <f t="shared" si="5"/>
        <v>33546800</v>
      </c>
      <c r="L40" s="357">
        <f t="shared" si="6"/>
        <v>0.02639729807674545</v>
      </c>
    </row>
    <row r="41" spans="1:12" ht="25.5">
      <c r="A41" s="162" t="s">
        <v>387</v>
      </c>
      <c r="B41" s="274" t="s">
        <v>338</v>
      </c>
      <c r="C41" s="164">
        <f>SUMIF('Prog-I Detalle'!$A$6:$A$19,A41,'Prog-I Detalle'!$C$6:$C$19)</f>
        <v>0</v>
      </c>
      <c r="D41" s="343">
        <f t="shared" si="4"/>
        <v>0</v>
      </c>
      <c r="E41" s="164">
        <f>SUMIF('Prog-II Detalle'!$A$6:$A$53,A41,'Prog-II Detalle'!$C$6:$C$53)</f>
        <v>9497067.3</v>
      </c>
      <c r="F41" s="343">
        <f t="shared" si="0"/>
        <v>0.028241982365451546</v>
      </c>
      <c r="G41" s="164">
        <f>SUMIF('Prog-III Detalle'!$A$6:$A$46,A41,'Prog-III Detalle'!$C$6:$C$46)</f>
        <v>0</v>
      </c>
      <c r="H41" s="343">
        <f t="shared" si="3"/>
        <v>0</v>
      </c>
      <c r="I41" s="165">
        <f>SUMIF('Prog-IV Detalle'!$A$6:$A$23,A41,'Prog-IV Detalle'!$C$6:$C$23)</f>
        <v>0</v>
      </c>
      <c r="J41" s="343"/>
      <c r="K41" s="164">
        <f t="shared" si="5"/>
        <v>9497067.3</v>
      </c>
      <c r="L41" s="357">
        <f t="shared" si="6"/>
        <v>0.007473050078487729</v>
      </c>
    </row>
    <row r="42" spans="1:12" ht="25.5">
      <c r="A42" s="162" t="s">
        <v>241</v>
      </c>
      <c r="B42" s="274" t="s">
        <v>242</v>
      </c>
      <c r="C42" s="164">
        <f>SUMIF('Prog-I Detalle'!$A$6:$A$19,A42,'Prog-I Detalle'!$C$6:$C$19)</f>
        <v>0</v>
      </c>
      <c r="D42" s="343">
        <f t="shared" si="4"/>
        <v>0</v>
      </c>
      <c r="E42" s="164">
        <f>SUMIF('Prog-II Detalle'!$A$6:$A$53,A42,'Prog-II Detalle'!$C$6:$C$53)</f>
        <v>0</v>
      </c>
      <c r="F42" s="343">
        <f t="shared" si="0"/>
        <v>0</v>
      </c>
      <c r="G42" s="164">
        <f>SUMIF('Prog-III Detalle'!$A$6:$A$46,A42,'Prog-III Detalle'!$C$6:$C$46)</f>
        <v>0</v>
      </c>
      <c r="H42" s="343">
        <f t="shared" si="3"/>
        <v>0</v>
      </c>
      <c r="I42" s="165">
        <f>SUMIF('Prog-IV Detalle'!$A$6:$A$23,A42,'Prog-IV Detalle'!$C$6:$C$23)</f>
        <v>0</v>
      </c>
      <c r="J42" s="343"/>
      <c r="K42" s="164">
        <f t="shared" si="5"/>
        <v>0</v>
      </c>
      <c r="L42" s="357">
        <f t="shared" si="6"/>
        <v>0</v>
      </c>
    </row>
    <row r="43" spans="1:12" s="161" customFormat="1" ht="16.5" customHeight="1">
      <c r="A43" s="178">
        <v>2</v>
      </c>
      <c r="B43" s="179" t="s">
        <v>29</v>
      </c>
      <c r="C43" s="166">
        <f>SUM(C44:C48)</f>
        <v>0</v>
      </c>
      <c r="D43" s="344">
        <f>+SUM(D44:D58)</f>
        <v>0</v>
      </c>
      <c r="E43" s="166">
        <f>SUM(E44:E58)</f>
        <v>13650000</v>
      </c>
      <c r="F43" s="345">
        <f>+SUM(F44:F58)</f>
        <v>0.0405918003011744</v>
      </c>
      <c r="G43" s="166">
        <f>SUM(G44:G58)</f>
        <v>2121416.26</v>
      </c>
      <c r="H43" s="345">
        <f>+SUM(H44:H58)</f>
        <v>0.0027601242016805127</v>
      </c>
      <c r="I43" s="166">
        <f>SUM(I44:I58)</f>
        <v>0</v>
      </c>
      <c r="J43" s="345"/>
      <c r="K43" s="159">
        <f>+C43++E43++G43+I43</f>
        <v>15771416.26</v>
      </c>
      <c r="L43" s="160">
        <f>+K43/$K$7</f>
        <v>0.01241020830921727</v>
      </c>
    </row>
    <row r="44" spans="1:12" ht="12.75">
      <c r="A44" s="162" t="s">
        <v>82</v>
      </c>
      <c r="B44" s="163" t="s">
        <v>106</v>
      </c>
      <c r="C44" s="164">
        <f>SUMIF('Prog-I Detalle'!$A$6:$A$6,A44,'Prog-I Detalle'!$C$6:$C$6)</f>
        <v>0</v>
      </c>
      <c r="D44" s="343">
        <f t="shared" si="4"/>
        <v>0</v>
      </c>
      <c r="E44" s="164">
        <f>SUMIF('Prog-II Detalle'!$A$6:$A$53,A44,'Prog-II Detalle'!$C$6:$C$53)</f>
        <v>1000000</v>
      </c>
      <c r="F44" s="343">
        <f t="shared" si="0"/>
        <v>0.0029737582638223008</v>
      </c>
      <c r="G44" s="164">
        <f>SUMIF('Prog-III Detalle'!$A$6:$A$46,A44,'Prog-III Detalle'!$C$6:$C$46)</f>
        <v>0</v>
      </c>
      <c r="H44" s="343">
        <f t="shared" si="3"/>
        <v>0</v>
      </c>
      <c r="I44" s="165">
        <f>SUMIF('Prog-IV Detalle'!$A$6:$A$23,A44,'Prog-IV Detalle'!$C$6:$C$23)</f>
        <v>0</v>
      </c>
      <c r="J44" s="343"/>
      <c r="K44" s="164">
        <f aca="true" t="shared" si="7" ref="K44:K58">+C44+E44+G44+I44</f>
        <v>1000000</v>
      </c>
      <c r="L44" s="357">
        <f aca="true" t="shared" si="8" ref="L44:L58">+K44/$K$7</f>
        <v>0.0007868797642918386</v>
      </c>
    </row>
    <row r="45" spans="1:12" ht="12.75">
      <c r="A45" s="162" t="s">
        <v>83</v>
      </c>
      <c r="B45" s="163" t="s">
        <v>30</v>
      </c>
      <c r="C45" s="164">
        <f>SUMIF('Prog-I Detalle'!$A$6:$A$6,A45,'Prog-I Detalle'!$C$6:$C$6)</f>
        <v>0</v>
      </c>
      <c r="D45" s="343">
        <f t="shared" si="4"/>
        <v>0</v>
      </c>
      <c r="E45" s="164">
        <f>SUMIF('Prog-II Detalle'!$A$6:$A$53,A45,'Prog-II Detalle'!$C$6:$C$53)</f>
        <v>1300000</v>
      </c>
      <c r="F45" s="343">
        <f t="shared" si="0"/>
        <v>0.003865885742968991</v>
      </c>
      <c r="G45" s="164">
        <f>SUMIF('Prog-III Detalle'!$A$6:$A$46,A45,'Prog-III Detalle'!$C$6:$C$46)</f>
        <v>0</v>
      </c>
      <c r="H45" s="343">
        <f t="shared" si="3"/>
        <v>0</v>
      </c>
      <c r="I45" s="165">
        <f>SUMIF('Prog-IV Detalle'!$A$6:$A$23,A45,'Prog-IV Detalle'!$C$6:$C$23)</f>
        <v>0</v>
      </c>
      <c r="J45" s="343"/>
      <c r="K45" s="164">
        <f t="shared" si="7"/>
        <v>1300000</v>
      </c>
      <c r="L45" s="357">
        <f t="shared" si="8"/>
        <v>0.0010229436935793902</v>
      </c>
    </row>
    <row r="46" spans="1:12" ht="12.75">
      <c r="A46" s="162" t="s">
        <v>171</v>
      </c>
      <c r="B46" s="163" t="s">
        <v>172</v>
      </c>
      <c r="C46" s="164">
        <f>SUMIF('Prog-I Detalle'!$A$6:$A$6,A46,'Prog-I Detalle'!$C$6:$C$6)</f>
        <v>0</v>
      </c>
      <c r="D46" s="343">
        <f t="shared" si="4"/>
        <v>0</v>
      </c>
      <c r="E46" s="164">
        <f>SUMIF('Prog-II Detalle'!$A$6:$A$53,A46,'Prog-II Detalle'!$C$6:$C$53)</f>
        <v>4000000</v>
      </c>
      <c r="F46" s="343">
        <f t="shared" si="0"/>
        <v>0.011895033055289203</v>
      </c>
      <c r="G46" s="164">
        <f>SUMIF('Prog-III Detalle'!$A$6:$A$46,A46,'Prog-III Detalle'!$C$6:$C$46)</f>
        <v>0</v>
      </c>
      <c r="H46" s="343">
        <f t="shared" si="3"/>
        <v>0</v>
      </c>
      <c r="I46" s="165">
        <f>SUMIF('Prog-IV Detalle'!$A$6:$A$23,A46,'Prog-IV Detalle'!$C$6:$C$23)</f>
        <v>0</v>
      </c>
      <c r="J46" s="343"/>
      <c r="K46" s="164">
        <f t="shared" si="7"/>
        <v>4000000</v>
      </c>
      <c r="L46" s="357">
        <f t="shared" si="8"/>
        <v>0.0031475190571673543</v>
      </c>
    </row>
    <row r="47" spans="1:12" ht="12" customHeight="1">
      <c r="A47" s="162" t="s">
        <v>84</v>
      </c>
      <c r="B47" s="163" t="s">
        <v>0</v>
      </c>
      <c r="C47" s="164">
        <f>SUMIF('Prog-I Detalle'!$A$6:$A$6,A47,'Prog-I Detalle'!$C$6:$C$6)</f>
        <v>0</v>
      </c>
      <c r="D47" s="343">
        <f t="shared" si="4"/>
        <v>0</v>
      </c>
      <c r="E47" s="164">
        <f>SUMIF('Prog-II Detalle'!$A$6:$A$53,A47,'Prog-II Detalle'!$C$6:$C$53)</f>
        <v>0</v>
      </c>
      <c r="F47" s="343">
        <f t="shared" si="0"/>
        <v>0</v>
      </c>
      <c r="G47" s="164">
        <f>SUMIF('Prog-III Detalle'!$A$6:$A$46,A47,'Prog-III Detalle'!$C$6:$C$46)</f>
        <v>0</v>
      </c>
      <c r="H47" s="343">
        <f t="shared" si="3"/>
        <v>0</v>
      </c>
      <c r="I47" s="165">
        <f>SUMIF('Prog-IV Detalle'!$A$6:$A$23,A47,'Prog-IV Detalle'!$C$6:$C$23)</f>
        <v>0</v>
      </c>
      <c r="J47" s="343"/>
      <c r="K47" s="164">
        <f t="shared" si="7"/>
        <v>0</v>
      </c>
      <c r="L47" s="357">
        <f t="shared" si="8"/>
        <v>0</v>
      </c>
    </row>
    <row r="48" spans="1:12" ht="12" customHeight="1">
      <c r="A48" s="162" t="s">
        <v>173</v>
      </c>
      <c r="B48" s="163" t="s">
        <v>164</v>
      </c>
      <c r="C48" s="164">
        <f>SUMIF('Prog-I Detalle'!$A$6:$A$6,A48,'Prog-I Detalle'!$C$6:$C$6)</f>
        <v>0</v>
      </c>
      <c r="D48" s="343">
        <f t="shared" si="4"/>
        <v>0</v>
      </c>
      <c r="E48" s="164">
        <f>SUMIF('Prog-II Detalle'!$A$6:$A$53,A48,'Prog-II Detalle'!$C$6:$C$53)</f>
        <v>0</v>
      </c>
      <c r="F48" s="343">
        <f t="shared" si="0"/>
        <v>0</v>
      </c>
      <c r="G48" s="164">
        <f>SUMIF('Prog-III Detalle'!$A$6:$A$46,A48,'Prog-III Detalle'!$C$6:$C$46)</f>
        <v>0</v>
      </c>
      <c r="H48" s="343">
        <f t="shared" si="3"/>
        <v>0</v>
      </c>
      <c r="I48" s="165">
        <f>SUMIF('Prog-IV Detalle'!$A$6:$A$23,A48,'Prog-IV Detalle'!$C$6:$C$23)</f>
        <v>0</v>
      </c>
      <c r="J48" s="343"/>
      <c r="K48" s="164">
        <f t="shared" si="7"/>
        <v>0</v>
      </c>
      <c r="L48" s="357">
        <f t="shared" si="8"/>
        <v>0</v>
      </c>
    </row>
    <row r="49" spans="1:12" ht="12" customHeight="1">
      <c r="A49" s="162" t="s">
        <v>247</v>
      </c>
      <c r="B49" s="163" t="s">
        <v>248</v>
      </c>
      <c r="C49" s="164">
        <f>SUMIF('Prog-I Detalle'!$A$6:$A$6,A49,'Prog-I Detalle'!$C$6:$C$6)</f>
        <v>0</v>
      </c>
      <c r="D49" s="343">
        <f t="shared" si="4"/>
        <v>0</v>
      </c>
      <c r="E49" s="164">
        <f>SUMIF('Prog-II Detalle'!$A$6:$A$53,A49,'Prog-II Detalle'!$C$6:$C$53)</f>
        <v>0</v>
      </c>
      <c r="F49" s="343">
        <f t="shared" si="0"/>
        <v>0</v>
      </c>
      <c r="G49" s="164">
        <f>SUMIF('Prog-III Detalle'!$A$6:$A$46,A49,'Prog-III Detalle'!$C$6:$C$46)</f>
        <v>103744.75</v>
      </c>
      <c r="H49" s="343">
        <f t="shared" si="3"/>
        <v>0.0001349798248799575</v>
      </c>
      <c r="I49" s="165">
        <f>SUMIF('Prog-IV Detalle'!$A$6:$A$23,A49,'Prog-IV Detalle'!$C$6:$C$23)</f>
        <v>0</v>
      </c>
      <c r="J49" s="343"/>
      <c r="K49" s="164">
        <f t="shared" si="7"/>
        <v>103744.75</v>
      </c>
      <c r="L49" s="357">
        <f t="shared" si="8"/>
        <v>8.163464442651572E-05</v>
      </c>
    </row>
    <row r="50" spans="1:12" ht="12.75">
      <c r="A50" s="162" t="s">
        <v>223</v>
      </c>
      <c r="B50" s="163" t="s">
        <v>222</v>
      </c>
      <c r="C50" s="164"/>
      <c r="D50" s="343">
        <f t="shared" si="4"/>
        <v>0</v>
      </c>
      <c r="E50" s="164">
        <f>SUMIF('Prog-II Detalle'!$A$6:$A$53,A50,'Prog-II Detalle'!$C$6:$C$53)</f>
        <v>0</v>
      </c>
      <c r="F50" s="343">
        <f t="shared" si="0"/>
        <v>0</v>
      </c>
      <c r="G50" s="164">
        <f>SUMIF('Prog-III Detalle'!$A$6:$A$46,A50,'Prog-III Detalle'!$C$6:$C$46)</f>
        <v>0</v>
      </c>
      <c r="H50" s="343">
        <f t="shared" si="3"/>
        <v>0</v>
      </c>
      <c r="I50" s="165">
        <f>SUMIF('Prog-IV Detalle'!$A$6:$A$23,A50,'Prog-IV Detalle'!$C$6:$C$23)</f>
        <v>0</v>
      </c>
      <c r="J50" s="343"/>
      <c r="K50" s="164">
        <f t="shared" si="7"/>
        <v>0</v>
      </c>
      <c r="L50" s="357">
        <f t="shared" si="8"/>
        <v>0</v>
      </c>
    </row>
    <row r="51" spans="1:12" ht="25.5">
      <c r="A51" s="162" t="s">
        <v>249</v>
      </c>
      <c r="B51" s="163" t="s">
        <v>246</v>
      </c>
      <c r="C51" s="164"/>
      <c r="D51" s="343">
        <f t="shared" si="4"/>
        <v>0</v>
      </c>
      <c r="E51" s="164">
        <f>SUMIF('Prog-II Detalle'!$A$6:$A$53,A51,'Prog-II Detalle'!$C$6:$C$53)</f>
        <v>0</v>
      </c>
      <c r="F51" s="343">
        <f t="shared" si="0"/>
        <v>0</v>
      </c>
      <c r="G51" s="164">
        <f>SUMIF('Prog-III Detalle'!$A$6:$A$46,A51,'Prog-III Detalle'!$C$6:$C$46)</f>
        <v>296726.12</v>
      </c>
      <c r="H51" s="343">
        <f t="shared" si="3"/>
        <v>0.0003860632920211312</v>
      </c>
      <c r="I51" s="165">
        <f>SUMIF('Prog-IV Detalle'!$A$6:$A$23,A51,'Prog-IV Detalle'!$C$6:$C$23)</f>
        <v>0</v>
      </c>
      <c r="J51" s="343"/>
      <c r="K51" s="164">
        <f t="shared" si="7"/>
        <v>296726.12</v>
      </c>
      <c r="L51" s="357">
        <f t="shared" si="8"/>
        <v>0.0002334877793648318</v>
      </c>
    </row>
    <row r="52" spans="1:12" ht="25.5">
      <c r="A52" s="162" t="s">
        <v>478</v>
      </c>
      <c r="B52" s="163" t="s">
        <v>479</v>
      </c>
      <c r="C52" s="164"/>
      <c r="D52" s="343">
        <f t="shared" si="4"/>
        <v>0</v>
      </c>
      <c r="E52" s="164">
        <f>SUMIF('Prog-II Detalle'!$A$6:$A$53,A52,'Prog-II Detalle'!$C$6:$C$53)</f>
        <v>0</v>
      </c>
      <c r="F52" s="343">
        <f t="shared" si="0"/>
        <v>0</v>
      </c>
      <c r="G52" s="164">
        <f>SUMIF('Prog-III Detalle'!$A$6:$A$46,A52,'Prog-III Detalle'!$C$6:$C$46)</f>
        <v>208950</v>
      </c>
      <c r="H52" s="343">
        <f t="shared" si="3"/>
        <v>0.00027185987154691797</v>
      </c>
      <c r="I52" s="165">
        <f>SUMIF('Prog-IV Detalle'!$A$6:$A$23,A52,'Prog-IV Detalle'!$C$6:$C$23)</f>
        <v>0</v>
      </c>
      <c r="J52" s="343"/>
      <c r="K52" s="164">
        <f t="shared" si="7"/>
        <v>208950</v>
      </c>
      <c r="L52" s="357">
        <f t="shared" si="8"/>
        <v>0.00016441852674877968</v>
      </c>
    </row>
    <row r="53" spans="1:12" ht="12.75">
      <c r="A53" s="162" t="s">
        <v>189</v>
      </c>
      <c r="B53" s="163" t="s">
        <v>185</v>
      </c>
      <c r="C53" s="164"/>
      <c r="D53" s="343">
        <f t="shared" si="4"/>
        <v>0</v>
      </c>
      <c r="E53" s="164">
        <f>SUMIF('Prog-II Detalle'!$A$6:$A$53,A53,'Prog-II Detalle'!$C$6:$C$53)</f>
        <v>1350000</v>
      </c>
      <c r="F53" s="343">
        <f t="shared" si="0"/>
        <v>0.004014573656160106</v>
      </c>
      <c r="G53" s="164">
        <f>SUMIF('Prog-III Detalle'!$A$6:$A$46,A53,'Prog-III Detalle'!$C$6:$C$46)</f>
        <v>0</v>
      </c>
      <c r="H53" s="343">
        <f t="shared" si="3"/>
        <v>0</v>
      </c>
      <c r="I53" s="165">
        <f>SUMIF('Prog-IV Detalle'!$A$6:$A$23,A53,'Prog-IV Detalle'!$C$6:$C$23)</f>
        <v>0</v>
      </c>
      <c r="J53" s="343"/>
      <c r="K53" s="164">
        <f t="shared" si="7"/>
        <v>1350000</v>
      </c>
      <c r="L53" s="357">
        <f t="shared" si="8"/>
        <v>0.001062287681793982</v>
      </c>
    </row>
    <row r="54" spans="1:12" ht="12.75">
      <c r="A54" s="162" t="s">
        <v>480</v>
      </c>
      <c r="B54" s="163" t="s">
        <v>481</v>
      </c>
      <c r="C54" s="164"/>
      <c r="D54" s="343">
        <f t="shared" si="4"/>
        <v>0</v>
      </c>
      <c r="E54" s="164">
        <f>SUMIF('Prog-II Detalle'!$A$6:$A$53,A54,'Prog-II Detalle'!$C$6:$C$53)</f>
        <v>0</v>
      </c>
      <c r="F54" s="343">
        <f t="shared" si="0"/>
        <v>0</v>
      </c>
      <c r="G54" s="164">
        <f>SUMIF('Prog-III Detalle'!$A$6:$A$46,A54,'Prog-III Detalle'!$C$6:$C$46)</f>
        <v>133675.86</v>
      </c>
      <c r="H54" s="343">
        <f t="shared" si="3"/>
        <v>0.00017392247967707003</v>
      </c>
      <c r="I54" s="165">
        <f>SUMIF('Prog-IV Detalle'!$A$6:$A$23,A54,'Prog-IV Detalle'!$C$6:$C$23)</f>
        <v>0</v>
      </c>
      <c r="J54" s="343"/>
      <c r="K54" s="164">
        <f t="shared" si="7"/>
        <v>133675.86</v>
      </c>
      <c r="L54" s="357">
        <f t="shared" si="8"/>
        <v>0.00010518682920830881</v>
      </c>
    </row>
    <row r="55" spans="1:12" ht="12.75">
      <c r="A55" s="162" t="s">
        <v>253</v>
      </c>
      <c r="B55" s="163" t="s">
        <v>254</v>
      </c>
      <c r="C55" s="164"/>
      <c r="D55" s="343">
        <f t="shared" si="4"/>
        <v>0</v>
      </c>
      <c r="E55" s="164">
        <f>SUMIF('Prog-II Detalle'!$A$6:$A$53,A55,'Prog-II Detalle'!$C$6:$C$53)</f>
        <v>5700000</v>
      </c>
      <c r="F55" s="343">
        <f t="shared" si="0"/>
        <v>0.016950422103787114</v>
      </c>
      <c r="G55" s="164">
        <f>SUMIF('Prog-III Detalle'!$A$6:$A$46,A55,'Prog-III Detalle'!$C$6:$C$46)</f>
        <v>9975</v>
      </c>
      <c r="H55" s="343">
        <f t="shared" si="3"/>
        <v>1.2978235073847842E-05</v>
      </c>
      <c r="I55" s="165">
        <f>SUMIF('Prog-IV Detalle'!$A$6:$A$23,A55,'Prog-IV Detalle'!$C$6:$C$23)</f>
        <v>0</v>
      </c>
      <c r="J55" s="343"/>
      <c r="K55" s="164">
        <f t="shared" si="7"/>
        <v>5709975</v>
      </c>
      <c r="L55" s="357">
        <f t="shared" si="8"/>
        <v>0.004493063782112291</v>
      </c>
    </row>
    <row r="56" spans="1:12" ht="25.5">
      <c r="A56" s="162" t="s">
        <v>476</v>
      </c>
      <c r="B56" s="163" t="s">
        <v>477</v>
      </c>
      <c r="C56" s="164"/>
      <c r="D56" s="343">
        <f t="shared" si="4"/>
        <v>0</v>
      </c>
      <c r="E56" s="164">
        <f>SUMIF('Prog-II Detalle'!$A$6:$A$53,A56,'Prog-II Detalle'!$C$6:$C$53)</f>
        <v>0</v>
      </c>
      <c r="F56" s="343">
        <f t="shared" si="0"/>
        <v>0</v>
      </c>
      <c r="G56" s="164">
        <f>SUMIF('Prog-III Detalle'!$A$6:$A$46,A56,'Prog-III Detalle'!$C$6:$C$46)</f>
        <v>1192718.4</v>
      </c>
      <c r="H56" s="343">
        <f t="shared" si="3"/>
        <v>0.0015518175210129002</v>
      </c>
      <c r="I56" s="165">
        <f>SUMIF('Prog-IV Detalle'!$A$6:$A$23,A56,'Prog-IV Detalle'!$C$6:$C$23)</f>
        <v>0</v>
      </c>
      <c r="J56" s="343"/>
      <c r="K56" s="164">
        <f t="shared" si="7"/>
        <v>1192718.4</v>
      </c>
      <c r="L56" s="357">
        <f t="shared" si="8"/>
        <v>0.0009385259734585388</v>
      </c>
    </row>
    <row r="57" spans="1:12" ht="25.5">
      <c r="A57" s="162" t="s">
        <v>482</v>
      </c>
      <c r="B57" s="163" t="s">
        <v>483</v>
      </c>
      <c r="C57" s="164"/>
      <c r="D57" s="343">
        <f t="shared" si="4"/>
        <v>0</v>
      </c>
      <c r="E57" s="164">
        <f>SUMIF('Prog-II Detalle'!$A$6:$A$53,A57,'Prog-II Detalle'!$C$6:$C$53)</f>
        <v>300000</v>
      </c>
      <c r="F57" s="343">
        <f t="shared" si="0"/>
        <v>0.0008921274791466903</v>
      </c>
      <c r="G57" s="164">
        <f>SUMIF('Prog-III Detalle'!$A$6:$A$46,A57,'Prog-III Detalle'!$C$6:$C$46)</f>
        <v>58078.13</v>
      </c>
      <c r="H57" s="343">
        <f t="shared" si="3"/>
        <v>7.556407256035033E-05</v>
      </c>
      <c r="I57" s="165">
        <f>SUMIF('Prog-IV Detalle'!$A$6:$A$23,A57,'Prog-IV Detalle'!$C$6:$C$23)</f>
        <v>0</v>
      </c>
      <c r="J57" s="343"/>
      <c r="K57" s="164">
        <f t="shared" si="7"/>
        <v>358078.13</v>
      </c>
      <c r="L57" s="357">
        <f t="shared" si="8"/>
        <v>0.00028176443453246236</v>
      </c>
    </row>
    <row r="58" spans="1:12" ht="12.75">
      <c r="A58" s="162" t="s">
        <v>250</v>
      </c>
      <c r="B58" s="163" t="s">
        <v>251</v>
      </c>
      <c r="C58" s="164"/>
      <c r="D58" s="343">
        <f t="shared" si="4"/>
        <v>0</v>
      </c>
      <c r="E58" s="164">
        <f>SUMIF('Prog-II Detalle'!$A$6:$A$53,A58,'Prog-II Detalle'!$C$6:$C$53)</f>
        <v>0</v>
      </c>
      <c r="F58" s="343">
        <f t="shared" si="0"/>
        <v>0</v>
      </c>
      <c r="G58" s="164">
        <f>SUMIF('Prog-III Detalle'!$A$6:$A$46,A58,'Prog-III Detalle'!$C$6:$C$46)</f>
        <v>117548</v>
      </c>
      <c r="H58" s="343">
        <f t="shared" si="3"/>
        <v>0.00015293890490833745</v>
      </c>
      <c r="I58" s="165">
        <f>SUMIF('Prog-IV Detalle'!$A$6:$A$23,A58,'Prog-IV Detalle'!$C$6:$C$23)</f>
        <v>0</v>
      </c>
      <c r="J58" s="343"/>
      <c r="K58" s="164">
        <f t="shared" si="7"/>
        <v>117548</v>
      </c>
      <c r="L58" s="357">
        <f t="shared" si="8"/>
        <v>9.249614253297704E-05</v>
      </c>
    </row>
    <row r="59" spans="1:12" s="161" customFormat="1" ht="16.5" customHeight="1">
      <c r="A59" s="178">
        <v>3</v>
      </c>
      <c r="B59" s="179" t="s">
        <v>123</v>
      </c>
      <c r="C59" s="166">
        <f>SUM(C60:C60)</f>
        <v>0</v>
      </c>
      <c r="D59" s="344">
        <v>0</v>
      </c>
      <c r="E59" s="166">
        <f>SUM(E60:E60)</f>
        <v>0</v>
      </c>
      <c r="F59" s="344">
        <v>0</v>
      </c>
      <c r="G59" s="166">
        <f>SUM(G60:G60)</f>
        <v>0</v>
      </c>
      <c r="H59" s="344">
        <v>0</v>
      </c>
      <c r="I59" s="166">
        <f>SUM(I60:I60)</f>
        <v>0</v>
      </c>
      <c r="J59" s="344"/>
      <c r="K59" s="166">
        <f>+C59+E59+G59+I59</f>
        <v>0</v>
      </c>
      <c r="L59" s="160">
        <f>+K59/$K$7</f>
        <v>0</v>
      </c>
    </row>
    <row r="60" spans="1:12" ht="25.5">
      <c r="A60" s="162" t="s">
        <v>9</v>
      </c>
      <c r="B60" s="163" t="s">
        <v>10</v>
      </c>
      <c r="C60" s="164">
        <f>SUMIF('Prog-I Detalle'!$A$6:$A$6,A60,'Prog-I Detalle'!$C$6:$C$6)</f>
        <v>0</v>
      </c>
      <c r="D60" s="343">
        <f t="shared" si="4"/>
        <v>0</v>
      </c>
      <c r="E60" s="164">
        <f>SUMIF('Prog-II Detalle'!$A$6:$A$53,A60,'Prog-II Detalle'!$C$6:$C$53)</f>
        <v>0</v>
      </c>
      <c r="F60" s="343">
        <f t="shared" si="0"/>
        <v>0</v>
      </c>
      <c r="G60" s="164">
        <f>SUMIF('Prog-III Detalle'!$A$6:$A$46,A60,'Prog-III Detalle'!$C$6:$C$46)</f>
        <v>0</v>
      </c>
      <c r="H60" s="343">
        <f t="shared" si="3"/>
        <v>0</v>
      </c>
      <c r="I60" s="165">
        <f>SUMIF('Prog-IV Detalle'!$A$6:$A$23,A60,'Prog-IV Detalle'!$C$6:$C$23)</f>
        <v>0</v>
      </c>
      <c r="J60" s="343"/>
      <c r="K60" s="164">
        <f>+C60+E60+G60+I60</f>
        <v>0</v>
      </c>
      <c r="L60" s="357">
        <f>+K60/$K$7</f>
        <v>0</v>
      </c>
    </row>
    <row r="61" spans="1:12" s="161" customFormat="1" ht="16.5" customHeight="1">
      <c r="A61" s="178">
        <v>5</v>
      </c>
      <c r="B61" s="179" t="s">
        <v>25</v>
      </c>
      <c r="C61" s="166">
        <f>SUM(C62:C74)</f>
        <v>20000000</v>
      </c>
      <c r="D61" s="344">
        <f>+SUM(D62:D74)</f>
        <v>0.1205016129051415</v>
      </c>
      <c r="E61" s="166">
        <f>SUM(E62:E74)</f>
        <v>88463737.92999999</v>
      </c>
      <c r="F61" s="344">
        <f>+SUM(F62:F74)</f>
        <v>0.2630697717179478</v>
      </c>
      <c r="G61" s="166">
        <f>SUM(G62:G74)</f>
        <v>507246298.71000004</v>
      </c>
      <c r="H61" s="344">
        <f>+SUM(H62:H74)</f>
        <v>0.6599660857140472</v>
      </c>
      <c r="I61" s="166">
        <f>SUM(I62:I74)</f>
        <v>0</v>
      </c>
      <c r="J61" s="344"/>
      <c r="K61" s="166">
        <f>+C61+E61+G61+I61</f>
        <v>615710036.64</v>
      </c>
      <c r="L61" s="160">
        <f>+K61/$K$7</f>
        <v>0.4844897685034025</v>
      </c>
    </row>
    <row r="62" spans="1:12" s="161" customFormat="1" ht="16.5" customHeight="1">
      <c r="A62" s="168" t="s">
        <v>192</v>
      </c>
      <c r="B62" s="163" t="s">
        <v>193</v>
      </c>
      <c r="C62" s="164">
        <f>SUMIF('Prog-I Detalle'!$A$6:$A$19,A62,'Prog-I Detalle'!$C$6:$C$19)</f>
        <v>0</v>
      </c>
      <c r="D62" s="343">
        <f t="shared" si="4"/>
        <v>0</v>
      </c>
      <c r="E62" s="164">
        <f>SUMIF('Prog-II Detalle'!$A$6:$A$53,A62,'Prog-II Detalle'!$C$6:$C$53)</f>
        <v>0</v>
      </c>
      <c r="F62" s="343">
        <f t="shared" si="0"/>
        <v>0</v>
      </c>
      <c r="G62" s="164">
        <f>SUMIF('Prog-III Detalle'!$A$6:$A$46,A62,'Prog-III Detalle'!$C$6:$C$46)</f>
        <v>3039.75</v>
      </c>
      <c r="H62" s="343">
        <f aca="true" t="shared" si="9" ref="H62:H74">+G62/$G$7</f>
        <v>3.954946372504158E-06</v>
      </c>
      <c r="I62" s="165">
        <f>SUMIF('Prog-IV Detalle'!$A$6:$A$23,A62,'Prog-IV Detalle'!$C$6:$C$23)</f>
        <v>0</v>
      </c>
      <c r="J62" s="343"/>
      <c r="K62" s="164">
        <f aca="true" t="shared" si="10" ref="K62:K74">+C62+E62+G62+I62</f>
        <v>3039.75</v>
      </c>
      <c r="L62" s="357">
        <f aca="true" t="shared" si="11" ref="L62:L74">+K62/$K$7</f>
        <v>2.3919177635061162E-06</v>
      </c>
    </row>
    <row r="63" spans="1:12" ht="12.75">
      <c r="A63" s="168" t="s">
        <v>85</v>
      </c>
      <c r="B63" s="163" t="s">
        <v>26</v>
      </c>
      <c r="C63" s="164">
        <f>SUMIF('Prog-I Detalle'!$A$6:$A$19,A63,'Prog-I Detalle'!$C$6:$C$19)</f>
        <v>0</v>
      </c>
      <c r="D63" s="343">
        <f t="shared" si="4"/>
        <v>0</v>
      </c>
      <c r="E63" s="164">
        <f>SUMIF('Prog-II Detalle'!$A$6:$A$53,A63,'Prog-II Detalle'!$C$6:$C$53)</f>
        <v>29530149.13</v>
      </c>
      <c r="F63" s="343">
        <f t="shared" si="0"/>
        <v>0.08781552500724242</v>
      </c>
      <c r="G63" s="164">
        <f>SUMIF('Prog-III Detalle'!$A$6:$A$46,A63,'Prog-III Detalle'!$C$6:$C$46)</f>
        <v>0</v>
      </c>
      <c r="H63" s="343">
        <f t="shared" si="9"/>
        <v>0</v>
      </c>
      <c r="I63" s="165">
        <f>SUMIF('Prog-IV Detalle'!$A$6:$A$23,A63,'Prog-IV Detalle'!$C$6:$C$23)</f>
        <v>0</v>
      </c>
      <c r="J63" s="343"/>
      <c r="K63" s="164">
        <f t="shared" si="10"/>
        <v>29530149.13</v>
      </c>
      <c r="L63" s="357">
        <f t="shared" si="11"/>
        <v>0.02323667678691724</v>
      </c>
    </row>
    <row r="64" spans="1:12" ht="12.75">
      <c r="A64" s="168" t="s">
        <v>169</v>
      </c>
      <c r="B64" s="163" t="s">
        <v>170</v>
      </c>
      <c r="C64" s="164">
        <f>SUMIF('Prog-I Detalle'!$A$6:$A$19,A64,'Prog-I Detalle'!$C$6:$C$19)</f>
        <v>0</v>
      </c>
      <c r="D64" s="343">
        <f t="shared" si="4"/>
        <v>0</v>
      </c>
      <c r="E64" s="164">
        <f>SUMIF('Prog-II Detalle'!$A$6:$A$53,A64,'Prog-II Detalle'!$C$6:$C$53)</f>
        <v>3150000</v>
      </c>
      <c r="F64" s="343">
        <f t="shared" si="0"/>
        <v>0.009367338531040248</v>
      </c>
      <c r="G64" s="164">
        <f>SUMIF('Prog-III Detalle'!$A$6:$A$46,A64,'Prog-III Detalle'!$C$6:$C$46)</f>
        <v>2786910</v>
      </c>
      <c r="H64" s="343">
        <f t="shared" si="9"/>
        <v>0.00362598226663231</v>
      </c>
      <c r="I64" s="165">
        <f>SUMIF('Prog-IV Detalle'!$A$6:$A$23,A64,'Prog-IV Detalle'!$C$6:$C$23)</f>
        <v>0</v>
      </c>
      <c r="J64" s="343"/>
      <c r="K64" s="164">
        <f t="shared" si="10"/>
        <v>5936910</v>
      </c>
      <c r="L64" s="357">
        <f t="shared" si="11"/>
        <v>0.0046716343414218596</v>
      </c>
    </row>
    <row r="65" spans="1:12" ht="12.75">
      <c r="A65" s="168" t="s">
        <v>86</v>
      </c>
      <c r="B65" s="163" t="s">
        <v>122</v>
      </c>
      <c r="C65" s="164">
        <f>SUMIF('Prog-I Detalle'!$A$6:$A$19,A65,'Prog-I Detalle'!$C$6:$C$19)</f>
        <v>20000000</v>
      </c>
      <c r="D65" s="343">
        <f t="shared" si="4"/>
        <v>0.1205016129051415</v>
      </c>
      <c r="E65" s="164">
        <f>SUMIF('Prog-II Detalle'!$A$6:$A$53,A65,'Prog-II Detalle'!$C$6:$C$53)</f>
        <v>0</v>
      </c>
      <c r="F65" s="343">
        <f t="shared" si="0"/>
        <v>0</v>
      </c>
      <c r="G65" s="164">
        <f>SUMIF('Prog-III Detalle'!$A$6:$A$46,A65,'Prog-III Detalle'!$C$6:$C$46)</f>
        <v>5229835.39</v>
      </c>
      <c r="H65" s="343">
        <f t="shared" si="9"/>
        <v>0.006804414344756762</v>
      </c>
      <c r="I65" s="165">
        <f>SUMIF('Prog-IV Detalle'!$A$6:$A$23,A65,'Prog-IV Detalle'!$C$6:$C$23)</f>
        <v>0</v>
      </c>
      <c r="J65" s="343"/>
      <c r="K65" s="164">
        <f t="shared" si="10"/>
        <v>25229835.39</v>
      </c>
      <c r="L65" s="357">
        <f t="shared" si="11"/>
        <v>0.019852846924805087</v>
      </c>
    </row>
    <row r="66" spans="1:12" ht="12.75">
      <c r="A66" s="168" t="s">
        <v>87</v>
      </c>
      <c r="B66" s="163" t="s">
        <v>27</v>
      </c>
      <c r="C66" s="164">
        <f>SUMIF('Prog-I Detalle'!$A$6:$A$19,A66,'Prog-I Detalle'!$C$6:$C$19)</f>
        <v>0</v>
      </c>
      <c r="D66" s="343">
        <f t="shared" si="4"/>
        <v>0</v>
      </c>
      <c r="E66" s="164">
        <f>SUMIF('Prog-II Detalle'!$A$6:$A$53,A66,'Prog-II Detalle'!$C$6:$C$53)</f>
        <v>10000000</v>
      </c>
      <c r="F66" s="343">
        <f t="shared" si="0"/>
        <v>0.029737582638223008</v>
      </c>
      <c r="G66" s="164">
        <f>SUMIF('Prog-III Detalle'!$A$6:$A$46,A66,'Prog-III Detalle'!$C$6:$C$46)</f>
        <v>0</v>
      </c>
      <c r="H66" s="343">
        <f t="shared" si="9"/>
        <v>0</v>
      </c>
      <c r="I66" s="165">
        <f>SUMIF('Prog-IV Detalle'!$A$6:$A$23,A66,'Prog-IV Detalle'!$C$6:$C$23)</f>
        <v>0</v>
      </c>
      <c r="J66" s="343"/>
      <c r="K66" s="164">
        <f t="shared" si="10"/>
        <v>10000000</v>
      </c>
      <c r="L66" s="357">
        <f t="shared" si="11"/>
        <v>0.007868797642918385</v>
      </c>
    </row>
    <row r="67" spans="1:12" ht="25.5">
      <c r="A67" s="168" t="s">
        <v>484</v>
      </c>
      <c r="B67" s="163" t="s">
        <v>485</v>
      </c>
      <c r="C67" s="164">
        <f>SUMIF('Prog-I Detalle'!$A$6:$A$19,A67,'Prog-I Detalle'!$C$6:$C$19)</f>
        <v>0</v>
      </c>
      <c r="D67" s="343">
        <f t="shared" si="4"/>
        <v>0</v>
      </c>
      <c r="E67" s="164">
        <f>SUMIF('Prog-II Detalle'!$A$6:$A$53,A67,'Prog-II Detalle'!$C$6:$C$53)</f>
        <v>0</v>
      </c>
      <c r="F67" s="343">
        <f t="shared" si="0"/>
        <v>0</v>
      </c>
      <c r="G67" s="164">
        <f>SUMIF('Prog-III Detalle'!$A$6:$A$46,A67,'Prog-III Detalle'!$C$6:$C$46)</f>
        <v>212100</v>
      </c>
      <c r="H67" s="343">
        <f t="shared" si="9"/>
        <v>0.0002759582615702383</v>
      </c>
      <c r="I67" s="165">
        <f>SUMIF('Prog-IV Detalle'!$A$6:$A$23,A67,'Prog-IV Detalle'!$C$6:$C$23)</f>
        <v>0</v>
      </c>
      <c r="J67" s="343"/>
      <c r="K67" s="164">
        <f t="shared" si="10"/>
        <v>212100</v>
      </c>
      <c r="L67" s="357">
        <f t="shared" si="11"/>
        <v>0.00016689719800629896</v>
      </c>
    </row>
    <row r="68" spans="1:12" ht="12" customHeight="1">
      <c r="A68" s="162" t="s">
        <v>88</v>
      </c>
      <c r="B68" s="163" t="s">
        <v>1</v>
      </c>
      <c r="C68" s="164">
        <f>SUMIF('Prog-I Detalle'!$A$6:$A$19,A68,'Prog-I Detalle'!$C$6:$C$19)</f>
        <v>0</v>
      </c>
      <c r="D68" s="343">
        <f t="shared" si="4"/>
        <v>0</v>
      </c>
      <c r="E68" s="164">
        <f>SUMIF('Prog-II Detalle'!$A$6:$A$53,A68,'Prog-II Detalle'!$C$6:$C$53)</f>
        <v>8000000</v>
      </c>
      <c r="F68" s="343">
        <f t="shared" si="0"/>
        <v>0.023790066110578406</v>
      </c>
      <c r="G68" s="164">
        <f>SUMIF('Prog-III Detalle'!$A$6:$A$46,A68,'Prog-III Detalle'!$C$6:$C$46)</f>
        <v>0</v>
      </c>
      <c r="H68" s="343">
        <f t="shared" si="9"/>
        <v>0</v>
      </c>
      <c r="I68" s="165">
        <f>SUMIF('Prog-IV Detalle'!$A$6:$A$23,A68,'Prog-IV Detalle'!$C$6:$C$23)</f>
        <v>0</v>
      </c>
      <c r="J68" s="343"/>
      <c r="K68" s="164">
        <f t="shared" si="10"/>
        <v>8000000</v>
      </c>
      <c r="L68" s="357">
        <f t="shared" si="11"/>
        <v>0.0062950381143347086</v>
      </c>
    </row>
    <row r="69" spans="1:12" ht="12" customHeight="1">
      <c r="A69" s="162" t="s">
        <v>175</v>
      </c>
      <c r="B69" s="163" t="s">
        <v>163</v>
      </c>
      <c r="C69" s="164">
        <f>SUMIF('Prog-I Detalle'!$A$6:$A$19,A69,'Prog-I Detalle'!$C$6:$C$19)</f>
        <v>0</v>
      </c>
      <c r="D69" s="343">
        <f t="shared" si="4"/>
        <v>0</v>
      </c>
      <c r="E69" s="164">
        <f>SUMIF('Prog-II Detalle'!$A$6:$A$53,A69,'Prog-II Detalle'!$C$6:$C$53)</f>
        <v>31783588.8</v>
      </c>
      <c r="F69" s="343">
        <f t="shared" si="0"/>
        <v>0.09451670984792993</v>
      </c>
      <c r="G69" s="164">
        <f>SUMIF('Prog-III Detalle'!$A$6:$A$46,A69,'Prog-III Detalle'!$C$6:$C$46)</f>
        <v>30974816.1</v>
      </c>
      <c r="H69" s="343">
        <f t="shared" si="9"/>
        <v>0.040300595961404194</v>
      </c>
      <c r="I69" s="165">
        <f>SUMIF('Prog-IV Detalle'!$A$6:$A$23,A69,'Prog-IV Detalle'!$C$6:$C$23)</f>
        <v>0</v>
      </c>
      <c r="J69" s="343"/>
      <c r="K69" s="164">
        <f t="shared" si="10"/>
        <v>62758404.900000006</v>
      </c>
      <c r="L69" s="357">
        <f t="shared" si="11"/>
        <v>0.049383318855043774</v>
      </c>
    </row>
    <row r="70" spans="1:12" ht="12.75">
      <c r="A70" s="162" t="s">
        <v>89</v>
      </c>
      <c r="B70" s="163" t="s">
        <v>117</v>
      </c>
      <c r="C70" s="164">
        <f>SUMIF('Prog-I Detalle'!$A$6:$A$19,A70,'Prog-I Detalle'!$C$6:$C$19)</f>
        <v>0</v>
      </c>
      <c r="D70" s="343">
        <f t="shared" si="4"/>
        <v>0</v>
      </c>
      <c r="E70" s="164">
        <f>SUMIF('Prog-II Detalle'!$A$6:$A$53,A70,'Prog-II Detalle'!$C$6:$C$53)</f>
        <v>0</v>
      </c>
      <c r="F70" s="343">
        <f t="shared" si="0"/>
        <v>0</v>
      </c>
      <c r="G70" s="164">
        <f>SUMIF('Prog-III Detalle'!$A$6:$A$46,A70,'Prog-III Detalle'!$C$6:$C$46)</f>
        <v>240331812.7</v>
      </c>
      <c r="H70" s="343">
        <f t="shared" si="9"/>
        <v>0.3126900010972</v>
      </c>
      <c r="I70" s="165">
        <f>SUMIF('Prog-IV Detalle'!$A$6:$A$23,A70,'Prog-IV Detalle'!$C$6:$C$23)</f>
        <v>0</v>
      </c>
      <c r="J70" s="343"/>
      <c r="K70" s="164">
        <f t="shared" si="10"/>
        <v>240331812.7</v>
      </c>
      <c r="L70" s="357">
        <f t="shared" si="11"/>
        <v>0.1891122401292063</v>
      </c>
    </row>
    <row r="71" spans="1:12" ht="12.75">
      <c r="A71" s="162" t="s">
        <v>90</v>
      </c>
      <c r="B71" s="169" t="s">
        <v>138</v>
      </c>
      <c r="C71" s="164">
        <f>SUMIF('Prog-I Detalle'!$A$6:$A$19,A71,'Prog-I Detalle'!$C$6:$C$19)</f>
        <v>0</v>
      </c>
      <c r="D71" s="343">
        <f t="shared" si="4"/>
        <v>0</v>
      </c>
      <c r="E71" s="164">
        <f>SUMIF('Prog-II Detalle'!$A$6:$A$53,A71,'Prog-II Detalle'!$C$6:$C$53)</f>
        <v>0</v>
      </c>
      <c r="F71" s="343">
        <f t="shared" si="0"/>
        <v>0</v>
      </c>
      <c r="G71" s="164">
        <f>SUMIF('Prog-III Detalle'!$A$6:$A$46,A71,'Prog-III Detalle'!$C$6:$C$46)</f>
        <v>33460873.619999997</v>
      </c>
      <c r="H71" s="343">
        <f t="shared" si="9"/>
        <v>0.043535146227235484</v>
      </c>
      <c r="I71" s="165">
        <f>SUMIF('Prog-IV Detalle'!$A$6:$A$23,A71,'Prog-IV Detalle'!$C$6:$C$23)</f>
        <v>0</v>
      </c>
      <c r="J71" s="343"/>
      <c r="K71" s="164">
        <f t="shared" si="10"/>
        <v>33460873.619999997</v>
      </c>
      <c r="L71" s="357">
        <f t="shared" si="11"/>
        <v>0.026329684347104598</v>
      </c>
    </row>
    <row r="72" spans="1:12" ht="25.5">
      <c r="A72" s="162" t="s">
        <v>91</v>
      </c>
      <c r="B72" s="163" t="s">
        <v>2</v>
      </c>
      <c r="C72" s="164">
        <f>SUMIF('Prog-I Detalle'!$A$6:$A$19,A72,'Prog-I Detalle'!$C$6:$C$19)</f>
        <v>0</v>
      </c>
      <c r="D72" s="343">
        <f t="shared" si="4"/>
        <v>0</v>
      </c>
      <c r="E72" s="164">
        <f>SUMIF('Prog-II Detalle'!$A$6:$A$53,A72,'Prog-II Detalle'!$C$6:$C$53)</f>
        <v>0</v>
      </c>
      <c r="F72" s="343">
        <f t="shared" si="0"/>
        <v>0</v>
      </c>
      <c r="G72" s="164">
        <f>SUMIF('Prog-III Detalle'!$A$6:$A$46,A72,'Prog-III Detalle'!$C$6:$C$46)</f>
        <v>166072646.55</v>
      </c>
      <c r="H72" s="343">
        <f t="shared" si="9"/>
        <v>0.21607316754505723</v>
      </c>
      <c r="I72" s="165">
        <f>SUMIF('Prog-IV Detalle'!$A$6:$A$23,A72,'Prog-IV Detalle'!$C$6:$C$23)</f>
        <v>0</v>
      </c>
      <c r="J72" s="343"/>
      <c r="K72" s="164">
        <f t="shared" si="10"/>
        <v>166072646.55</v>
      </c>
      <c r="L72" s="357">
        <f t="shared" si="11"/>
        <v>0.13067920497258584</v>
      </c>
    </row>
    <row r="73" spans="1:12" ht="12.75">
      <c r="A73" s="162" t="s">
        <v>275</v>
      </c>
      <c r="B73" s="163" t="s">
        <v>276</v>
      </c>
      <c r="C73" s="164">
        <f>SUMIF('Prog-I Detalle'!$A$6:$A$19,A73,'Prog-I Detalle'!$C$6:$C$19)</f>
        <v>0</v>
      </c>
      <c r="D73" s="343">
        <f t="shared" si="4"/>
        <v>0</v>
      </c>
      <c r="E73" s="164">
        <f>SUMIF('Prog-II Detalle'!$A$6:$A$53,A73,'Prog-II Detalle'!$C$6:$C$53)</f>
        <v>0</v>
      </c>
      <c r="F73" s="343">
        <f t="shared" si="0"/>
        <v>0</v>
      </c>
      <c r="G73" s="164">
        <f>SUMIF('Prog-III Detalle'!$A$6:$A$46,A73,'Prog-III Detalle'!$C$6:$C$46)</f>
        <v>28174264.6</v>
      </c>
      <c r="H73" s="343">
        <f t="shared" si="9"/>
        <v>0.03665686506381851</v>
      </c>
      <c r="I73" s="165">
        <f>SUMIF('Prog-IV Detalle'!$A$6:$A$23,A73,'Prog-IV Detalle'!$C$6:$C$23)</f>
        <v>0</v>
      </c>
      <c r="J73" s="343"/>
      <c r="K73" s="164">
        <f t="shared" si="10"/>
        <v>28174264.6</v>
      </c>
      <c r="L73" s="357">
        <f t="shared" si="11"/>
        <v>0.022169758687543895</v>
      </c>
    </row>
    <row r="74" spans="1:12" ht="12.75">
      <c r="A74" s="162" t="s">
        <v>255</v>
      </c>
      <c r="B74" s="163" t="s">
        <v>256</v>
      </c>
      <c r="C74" s="164">
        <f>SUMIF('Prog-I Detalle'!$A$6:$A$19,A74,'Prog-I Detalle'!$C$6:$C$19)</f>
        <v>0</v>
      </c>
      <c r="D74" s="343">
        <f t="shared" si="4"/>
        <v>0</v>
      </c>
      <c r="E74" s="164">
        <f>SUMIF('Prog-II Detalle'!$A$6:$A$53,A74,'Prog-II Detalle'!$C$6:$C$53)</f>
        <v>6000000</v>
      </c>
      <c r="F74" s="343">
        <f t="shared" si="0"/>
        <v>0.017842549582933805</v>
      </c>
      <c r="G74" s="164">
        <f>SUMIF('Prog-III Detalle'!$A$6:$A$46,A74,'Prog-III Detalle'!$C$6:$C$46)</f>
        <v>0</v>
      </c>
      <c r="H74" s="343">
        <f t="shared" si="9"/>
        <v>0</v>
      </c>
      <c r="I74" s="165">
        <f>SUMIF('Prog-IV Detalle'!$A$6:$A$23,A74,'Prog-IV Detalle'!$C$6:$C$23)</f>
        <v>0</v>
      </c>
      <c r="J74" s="343"/>
      <c r="K74" s="164">
        <f t="shared" si="10"/>
        <v>6000000</v>
      </c>
      <c r="L74" s="357">
        <f t="shared" si="11"/>
        <v>0.004721278585751032</v>
      </c>
    </row>
    <row r="75" spans="1:12" s="161" customFormat="1" ht="16.5" customHeight="1">
      <c r="A75" s="178">
        <v>6</v>
      </c>
      <c r="B75" s="179" t="s">
        <v>113</v>
      </c>
      <c r="C75" s="166">
        <f>SUM(C76:C81)</f>
        <v>19042106.66</v>
      </c>
      <c r="D75" s="344">
        <f>+SUM(D76:D82)</f>
        <v>0.11473022828208684</v>
      </c>
      <c r="E75" s="166">
        <f>SUM(E76:E81)</f>
        <v>87204641.35</v>
      </c>
      <c r="F75" s="344">
        <f>+SUM(F76:F82)</f>
        <v>0.2593255228582224</v>
      </c>
      <c r="G75" s="166">
        <f>SUM(G76:G82)</f>
        <v>2433784.08</v>
      </c>
      <c r="H75" s="344">
        <f>+SUM(H76:H82)</f>
        <v>0.0031665385372660155</v>
      </c>
      <c r="I75" s="166">
        <f>SUM(I76:I81)</f>
        <v>0</v>
      </c>
      <c r="J75" s="344"/>
      <c r="K75" s="166">
        <f>C75+E75+G75+I75</f>
        <v>108680532.08999999</v>
      </c>
      <c r="L75" s="160">
        <f>+K75/$K$7</f>
        <v>0.08551851147409079</v>
      </c>
    </row>
    <row r="76" spans="1:12" ht="25.5">
      <c r="A76" s="162" t="s">
        <v>92</v>
      </c>
      <c r="B76" s="163" t="s">
        <v>3</v>
      </c>
      <c r="C76" s="164">
        <f>SUMIF('Prog-I Detalle'!$A$6:$A$19,A76,'Prog-I Detalle'!$C$6:$C$19)</f>
        <v>0</v>
      </c>
      <c r="D76" s="343">
        <f t="shared" si="4"/>
        <v>0</v>
      </c>
      <c r="E76" s="164">
        <f>SUMIF('Prog-II Detalle'!$A$6:$A$53,A76,'Prog-II Detalle'!$C$6:$C$53)</f>
        <v>0</v>
      </c>
      <c r="F76" s="343">
        <f t="shared" si="0"/>
        <v>0</v>
      </c>
      <c r="G76" s="164">
        <f>SUMIF('Prog-III Detalle'!$A$6:$A$46,A76,'Prog-III Detalle'!$C$6:$C$46)</f>
        <v>0</v>
      </c>
      <c r="H76" s="343">
        <f aca="true" t="shared" si="12" ref="H76:H82">+G76/$G$7</f>
        <v>0</v>
      </c>
      <c r="I76" s="165">
        <f>SUMIF('Prog-IV Detalle'!$A$6:$A$18,A76,'Prog-IV Detalle'!$C$6:$C$18)</f>
        <v>0</v>
      </c>
      <c r="J76" s="343"/>
      <c r="K76" s="164">
        <f aca="true" t="shared" si="13" ref="K76:K82">+C76+E76+G76+I76</f>
        <v>0</v>
      </c>
      <c r="L76" s="357">
        <f aca="true" t="shared" si="14" ref="L76:L82">+K76/$K$7</f>
        <v>0</v>
      </c>
    </row>
    <row r="77" spans="1:12" ht="12" customHeight="1">
      <c r="A77" s="162" t="s">
        <v>93</v>
      </c>
      <c r="B77" s="167" t="s">
        <v>4</v>
      </c>
      <c r="C77" s="164">
        <f>SUMIF('Prog-I Detalle'!$A$6:$A$19,A77,'Prog-I Detalle'!$C$6:$C$19)</f>
        <v>16252106.66</v>
      </c>
      <c r="D77" s="343">
        <f t="shared" si="4"/>
        <v>0.09792025328181961</v>
      </c>
      <c r="E77" s="164">
        <f>SUMIF('Prog-II Detalle'!$A$6:$A$53,A77,'Prog-II Detalle'!$C$6:$C$53)</f>
        <v>0</v>
      </c>
      <c r="F77" s="343">
        <f aca="true" t="shared" si="15" ref="F77:F82">+E77/$E$7</f>
        <v>0</v>
      </c>
      <c r="G77" s="164">
        <f>SUMIF('Prog-III Detalle'!$A$6:$A$46,A77,'Prog-III Detalle'!$C$6:$C$46)</f>
        <v>0</v>
      </c>
      <c r="H77" s="343">
        <f t="shared" si="12"/>
        <v>0</v>
      </c>
      <c r="I77" s="165">
        <f>SUMIF('Prog-IV Detalle'!$A$6:$A$18,A77,'Prog-IV Detalle'!$C$6:$C$18)</f>
        <v>0</v>
      </c>
      <c r="J77" s="343"/>
      <c r="K77" s="164">
        <f t="shared" si="13"/>
        <v>16252106.66</v>
      </c>
      <c r="L77" s="357">
        <f t="shared" si="14"/>
        <v>0.01278845385786662</v>
      </c>
    </row>
    <row r="78" spans="1:12" ht="12.75">
      <c r="A78" s="162" t="s">
        <v>94</v>
      </c>
      <c r="B78" s="163" t="s">
        <v>5</v>
      </c>
      <c r="C78" s="164">
        <f>SUMIF('Prog-I Detalle'!$A$6:$A$19,A78,'Prog-I Detalle'!$C$6:$C$19)</f>
        <v>0</v>
      </c>
      <c r="D78" s="343">
        <f t="shared" si="4"/>
        <v>0</v>
      </c>
      <c r="E78" s="164">
        <f>SUMIF('Prog-II Detalle'!$A$6:$A$53,A78,'Prog-II Detalle'!$C$6:$C$53)</f>
        <v>4000000</v>
      </c>
      <c r="F78" s="343">
        <f t="shared" si="15"/>
        <v>0.011895033055289203</v>
      </c>
      <c r="G78" s="164">
        <f>SUMIF('Prog-III Detalle'!$A$6:$A$46,A78,'Prog-III Detalle'!$C$6:$C$46)</f>
        <v>0</v>
      </c>
      <c r="H78" s="343">
        <f t="shared" si="12"/>
        <v>0</v>
      </c>
      <c r="I78" s="165">
        <f>SUMIF('Prog-IV Detalle'!$A$6:$A$18,A78,'Prog-IV Detalle'!$C$6:$C$18)</f>
        <v>0</v>
      </c>
      <c r="J78" s="343"/>
      <c r="K78" s="164">
        <f t="shared" si="13"/>
        <v>4000000</v>
      </c>
      <c r="L78" s="357">
        <f t="shared" si="14"/>
        <v>0.0031475190571673543</v>
      </c>
    </row>
    <row r="79" spans="1:12" ht="12.75">
      <c r="A79" s="162" t="s">
        <v>207</v>
      </c>
      <c r="B79" s="163" t="s">
        <v>206</v>
      </c>
      <c r="C79" s="164">
        <f>SUMIF('Prog-I Detalle'!$A$6:$A$19,A79,'Prog-I Detalle'!$C$6:$C$19)</f>
        <v>0</v>
      </c>
      <c r="D79" s="343">
        <f t="shared" si="4"/>
        <v>0</v>
      </c>
      <c r="E79" s="164">
        <f>SUMIF('Prog-II Detalle'!$A$6:$A$53,A79,'Prog-II Detalle'!$C$6:$C$53)</f>
        <v>0</v>
      </c>
      <c r="F79" s="343">
        <f t="shared" si="15"/>
        <v>0</v>
      </c>
      <c r="G79" s="164">
        <f>SUMIF('Prog-III Detalle'!$A$6:$A$46,A79,'Prog-III Detalle'!$C$6:$C$46)</f>
        <v>0</v>
      </c>
      <c r="H79" s="343">
        <f t="shared" si="12"/>
        <v>0</v>
      </c>
      <c r="I79" s="165">
        <f>SUMIF('Prog-IV Detalle'!$A$6:$A$18,A79,'Prog-IV Detalle'!$C$6:$C$18)</f>
        <v>0</v>
      </c>
      <c r="J79" s="343"/>
      <c r="K79" s="164">
        <f t="shared" si="13"/>
        <v>0</v>
      </c>
      <c r="L79" s="357">
        <f t="shared" si="14"/>
        <v>0</v>
      </c>
    </row>
    <row r="80" spans="1:12" ht="12.75">
      <c r="A80" s="162" t="s">
        <v>187</v>
      </c>
      <c r="B80" s="163" t="s">
        <v>188</v>
      </c>
      <c r="C80" s="164">
        <f>SUMIF('Prog-I Detalle'!$A$6:$A$19,A80,'Prog-I Detalle'!$C$6:$C$19)</f>
        <v>0</v>
      </c>
      <c r="D80" s="343">
        <f t="shared" si="4"/>
        <v>0</v>
      </c>
      <c r="E80" s="164">
        <f>SUMIF('Prog-II Detalle'!$A$6:$A$53,A80,'Prog-II Detalle'!$C$6:$C$53)</f>
        <v>83204641.35</v>
      </c>
      <c r="F80" s="343">
        <f t="shared" si="15"/>
        <v>0.2474304898029332</v>
      </c>
      <c r="G80" s="164">
        <f>SUMIF('Prog-III Detalle'!$A$6:$A$46,A80,'Prog-III Detalle'!$C$6:$C$46)</f>
        <v>0</v>
      </c>
      <c r="H80" s="343">
        <f t="shared" si="12"/>
        <v>0</v>
      </c>
      <c r="I80" s="165">
        <f>SUMIF('Prog-IV Detalle'!$A$6:$A$18,A80,'Prog-IV Detalle'!$C$6:$C$18)</f>
        <v>0</v>
      </c>
      <c r="J80" s="343"/>
      <c r="K80" s="164">
        <f t="shared" si="13"/>
        <v>83204641.35</v>
      </c>
      <c r="L80" s="357">
        <f t="shared" si="14"/>
        <v>0.06547204857347497</v>
      </c>
    </row>
    <row r="81" spans="1:12" ht="12.75">
      <c r="A81" s="162" t="s">
        <v>386</v>
      </c>
      <c r="B81" s="167" t="s">
        <v>302</v>
      </c>
      <c r="C81" s="164">
        <f>SUMIF('Prog-I Detalle'!$A$6:$A$19,A81,'Prog-I Detalle'!$C$6:$C$19)</f>
        <v>2790000</v>
      </c>
      <c r="D81" s="343">
        <f t="shared" si="4"/>
        <v>0.01680997500026724</v>
      </c>
      <c r="E81" s="164">
        <f>SUMIF('Prog-II Detalle'!$A$6:$A$53,A81,'Prog-II Detalle'!$C$6:$C$53)</f>
        <v>0</v>
      </c>
      <c r="F81" s="343">
        <f t="shared" si="15"/>
        <v>0</v>
      </c>
      <c r="G81" s="164">
        <f>SUMIF('Prog-III Detalle'!$A$6:$A$46,A81,'Prog-III Detalle'!$C$6:$C$46)</f>
        <v>0</v>
      </c>
      <c r="H81" s="343">
        <f t="shared" si="12"/>
        <v>0</v>
      </c>
      <c r="I81" s="165">
        <f>SUMIF('Prog-IV Detalle'!$A$6:$A$18,A81,'Prog-IV Detalle'!$C$6:$C$18)</f>
        <v>0</v>
      </c>
      <c r="J81" s="343"/>
      <c r="K81" s="164">
        <f t="shared" si="13"/>
        <v>2790000</v>
      </c>
      <c r="L81" s="357">
        <f t="shared" si="14"/>
        <v>0.0021953945423742295</v>
      </c>
    </row>
    <row r="82" spans="1:12" ht="12.75">
      <c r="A82" s="162" t="s">
        <v>393</v>
      </c>
      <c r="B82" s="167" t="s">
        <v>394</v>
      </c>
      <c r="C82" s="164">
        <f>SUMIF('Prog-I Detalle'!$A$6:$A$19,A82,'Prog-I Detalle'!$C$6:$C$19)</f>
        <v>0</v>
      </c>
      <c r="D82" s="343">
        <f t="shared" si="4"/>
        <v>0</v>
      </c>
      <c r="E82" s="164">
        <f>SUMIF('Prog-II Detalle'!$A$6:$A$53,A82,'Prog-II Detalle'!$C$6:$C$53)</f>
        <v>0</v>
      </c>
      <c r="F82" s="343">
        <f t="shared" si="15"/>
        <v>0</v>
      </c>
      <c r="G82" s="164">
        <f>SUMIF('Prog-III Detalle'!$A$6:$A$46,A82,'Prog-III Detalle'!$C$6:$C$46)</f>
        <v>2433784.08</v>
      </c>
      <c r="H82" s="343">
        <f t="shared" si="12"/>
        <v>0.0031665385372660155</v>
      </c>
      <c r="I82" s="165">
        <f>SUMIF('Prog-IV Detalle'!$A$6:$A$18,A82,'Prog-IV Detalle'!$C$6:$C$18)</f>
        <v>0</v>
      </c>
      <c r="J82" s="343"/>
      <c r="K82" s="164">
        <f t="shared" si="13"/>
        <v>2433784.08</v>
      </c>
      <c r="L82" s="357">
        <f t="shared" si="14"/>
        <v>0.0019150954432076294</v>
      </c>
    </row>
    <row r="83" spans="1:12" s="161" customFormat="1" ht="16.5" customHeight="1">
      <c r="A83" s="178">
        <v>7</v>
      </c>
      <c r="B83" s="179" t="s">
        <v>136</v>
      </c>
      <c r="C83" s="166">
        <f>SUM(C84:C84)</f>
        <v>0</v>
      </c>
      <c r="D83" s="344">
        <f>+SUM(D84:D86)</f>
        <v>0</v>
      </c>
      <c r="E83" s="166">
        <f>SUM(E84:E86)</f>
        <v>70553489.75</v>
      </c>
      <c r="F83" s="344">
        <f>SUM(F84:F86)</f>
        <v>0.2098090231855645</v>
      </c>
      <c r="G83" s="166">
        <f>SUM(G84:G86)</f>
        <v>106163854.2</v>
      </c>
      <c r="H83" s="344">
        <f>SUM(H84:H86)</f>
        <v>0.13812726377476778</v>
      </c>
      <c r="I83" s="166">
        <f>SUM(I84:I84)</f>
        <v>0</v>
      </c>
      <c r="J83" s="344"/>
      <c r="K83" s="166">
        <f>+C83+E83+G83+I83</f>
        <v>176717343.95</v>
      </c>
      <c r="L83" s="160">
        <f>+K83/$K$7</f>
        <v>0.13905530195365576</v>
      </c>
    </row>
    <row r="84" spans="1:12" ht="25.5">
      <c r="A84" s="162" t="s">
        <v>95</v>
      </c>
      <c r="B84" s="163" t="s">
        <v>6</v>
      </c>
      <c r="C84" s="164">
        <f>SUMIF('Prog-I Detalle'!$A$6:$A$6,A84,'Prog-I Detalle'!$C$6:$C$6)</f>
        <v>0</v>
      </c>
      <c r="D84" s="343">
        <f>+C84/$C$75</f>
        <v>0</v>
      </c>
      <c r="E84" s="164">
        <f>SUMIF('Prog-II Detalle'!$A$6:$A$53,A84,'Prog-II Detalle'!$C$6:$C$53)</f>
        <v>62302978.37</v>
      </c>
      <c r="F84" s="343">
        <f>+E84/$E$7</f>
        <v>0.18527399678852954</v>
      </c>
      <c r="G84" s="164">
        <f>SUMIF('Prog-III Detalle'!$A$6:$A$46,A84,'Prog-III Detalle'!$C$6:$C$46)</f>
        <v>39328600</v>
      </c>
      <c r="H84" s="343">
        <f>+G84/$G$7</f>
        <v>0.05116950535592303</v>
      </c>
      <c r="I84" s="165">
        <f>SUMIF('Prog-IV Detalle'!$A$6:$A$18,A84,'Prog-IV Detalle'!$C$6:$C$18)</f>
        <v>0</v>
      </c>
      <c r="J84" s="343"/>
      <c r="K84" s="164">
        <f>+C84+E84+G84+I84</f>
        <v>101631578.37</v>
      </c>
      <c r="L84" s="357">
        <f>+K84/$K$7</f>
        <v>0.07997183243239313</v>
      </c>
    </row>
    <row r="85" spans="1:12" ht="25.5">
      <c r="A85" s="162" t="s">
        <v>220</v>
      </c>
      <c r="B85" s="163" t="s">
        <v>221</v>
      </c>
      <c r="C85" s="164">
        <f>SUMIF('Prog-I Detalle'!$A$6:$A$6,A85,'Prog-I Detalle'!$C$6:$C$6)</f>
        <v>0</v>
      </c>
      <c r="D85" s="343">
        <f>+C85/$C$75</f>
        <v>0</v>
      </c>
      <c r="E85" s="164">
        <f>SUMIF('Prog-II Detalle'!$A$6:$A$53,A85,'Prog-II Detalle'!$C$6:$C$53)</f>
        <v>0</v>
      </c>
      <c r="F85" s="343">
        <f>+E85/$E$7</f>
        <v>0</v>
      </c>
      <c r="G85" s="164">
        <f>SUMIF('Prog-III Detalle'!$A$6:$A$46,A85,'Prog-III Detalle'!$C$6:$C$46)</f>
        <v>48115254.2</v>
      </c>
      <c r="H85" s="343">
        <f>+G85/$G$7</f>
        <v>0.06260161199454083</v>
      </c>
      <c r="I85" s="165">
        <f>SUMIF('Prog-IV Detalle'!$A$6:$A$18,A85,'Prog-IV Detalle'!$C$6:$C$18)</f>
        <v>0</v>
      </c>
      <c r="J85" s="343"/>
      <c r="K85" s="164">
        <f>+C85+E85+G85+I85</f>
        <v>48115254.2</v>
      </c>
      <c r="L85" s="357">
        <f>+K85/$K$7</f>
        <v>0.0378609198837379</v>
      </c>
    </row>
    <row r="86" spans="1:12" ht="25.5">
      <c r="A86" s="162" t="s">
        <v>216</v>
      </c>
      <c r="B86" s="163" t="s">
        <v>217</v>
      </c>
      <c r="C86" s="164">
        <f>SUMIF('Prog-I Detalle'!$A$6:$A$6,A86,'Prog-I Detalle'!$C$6:$C$6)</f>
        <v>0</v>
      </c>
      <c r="D86" s="343">
        <f>+C86/$C$75</f>
        <v>0</v>
      </c>
      <c r="E86" s="164">
        <f>SUMIF('Prog-II Detalle'!$A$6:$A$53,A86,'Prog-II Detalle'!$C$6:$C$53)</f>
        <v>8250511.38</v>
      </c>
      <c r="F86" s="343">
        <f>+E86/$E$7</f>
        <v>0.024535026397034934</v>
      </c>
      <c r="G86" s="164">
        <f>SUMIF('Prog-III Detalle'!$A$6:$A$46,A86,'Prog-III Detalle'!$C$6:$C$46)</f>
        <v>18720000</v>
      </c>
      <c r="H86" s="343">
        <f>+G86/$G$7</f>
        <v>0.02435614642430392</v>
      </c>
      <c r="I86" s="165">
        <f>SUMIF('Prog-IV Detalle'!$A$6:$A$18,A86,'Prog-IV Detalle'!$C$6:$C$18)</f>
        <v>0</v>
      </c>
      <c r="J86" s="343"/>
      <c r="K86" s="164">
        <f>+C86+E86+G86+I86</f>
        <v>26970511.38</v>
      </c>
      <c r="L86" s="357">
        <f>+K86/$K$7</f>
        <v>0.02122254963752475</v>
      </c>
    </row>
    <row r="87" spans="1:12" s="161" customFormat="1" ht="16.5" customHeight="1">
      <c r="A87" s="178">
        <v>8</v>
      </c>
      <c r="B87" s="179" t="s">
        <v>135</v>
      </c>
      <c r="C87" s="166">
        <f>+C88</f>
        <v>0</v>
      </c>
      <c r="D87" s="344">
        <f>+D88</f>
        <v>0</v>
      </c>
      <c r="E87" s="166">
        <f>+E88</f>
        <v>0</v>
      </c>
      <c r="F87" s="344">
        <f>+F88</f>
        <v>0</v>
      </c>
      <c r="G87" s="166"/>
      <c r="H87" s="344">
        <f>+H88</f>
        <v>0</v>
      </c>
      <c r="I87" s="166">
        <f>+I88</f>
        <v>0</v>
      </c>
      <c r="J87" s="344"/>
      <c r="K87" s="166">
        <f>+C87+E87+G87+I87</f>
        <v>0</v>
      </c>
      <c r="L87" s="160">
        <f>+K87/$K$7</f>
        <v>0</v>
      </c>
    </row>
    <row r="88" spans="1:12" ht="29.25" customHeight="1">
      <c r="A88" s="162" t="s">
        <v>96</v>
      </c>
      <c r="B88" s="163" t="s">
        <v>7</v>
      </c>
      <c r="C88" s="164">
        <f>SUMIF('Prog-I Detalle'!$A$6:$A$6,A88,'Prog-I Detalle'!$C$6:$C$6)</f>
        <v>0</v>
      </c>
      <c r="D88" s="343">
        <f>+C88/$C$75</f>
        <v>0</v>
      </c>
      <c r="E88" s="164">
        <f>SUMIF('Prog-II Detalle'!$A$6:$A$53,A88,'Prog-II Detalle'!$C$6:$C$53)</f>
        <v>0</v>
      </c>
      <c r="F88" s="343">
        <f>+E88/$E$7</f>
        <v>0</v>
      </c>
      <c r="G88" s="164">
        <f>SUMIF('Prog-III Detalle'!$A$6:$A$46,A88,'Prog-III Detalle'!$C$6:$C$46)</f>
        <v>0</v>
      </c>
      <c r="H88" s="343">
        <f>+G88/$G$7</f>
        <v>0</v>
      </c>
      <c r="I88" s="165">
        <f>SUMIF('Prog-IV Detalle'!$A$6:$A$18,A88,'Prog-IV Detalle'!$C$6:$C$18)</f>
        <v>0</v>
      </c>
      <c r="J88" s="343"/>
      <c r="K88" s="164">
        <f>+C88++E88+G88+I88</f>
        <v>0</v>
      </c>
      <c r="L88" s="357">
        <f>+K88/$K$7</f>
        <v>0</v>
      </c>
    </row>
    <row r="89" spans="1:12" s="161" customFormat="1" ht="16.5" customHeight="1">
      <c r="A89" s="178">
        <v>9</v>
      </c>
      <c r="B89" s="179" t="s">
        <v>11</v>
      </c>
      <c r="C89" s="166">
        <f>SUM(C90:C90)</f>
        <v>0</v>
      </c>
      <c r="D89" s="344">
        <f>+D90</f>
        <v>0</v>
      </c>
      <c r="E89" s="166">
        <f>SUM(E90:E90)</f>
        <v>0</v>
      </c>
      <c r="F89" s="344">
        <f>+E89/$E$7</f>
        <v>0</v>
      </c>
      <c r="G89" s="166">
        <f>SUM(G90:G90)</f>
        <v>140846139.24</v>
      </c>
      <c r="H89" s="344">
        <f>+H90</f>
        <v>0.18325155932838347</v>
      </c>
      <c r="I89" s="166">
        <f>SUM(I90:I90)</f>
        <v>0</v>
      </c>
      <c r="J89" s="344"/>
      <c r="K89" s="166">
        <f>+C89+E89+G89+I89</f>
        <v>140846139.24</v>
      </c>
      <c r="L89" s="160">
        <f>+K89/$K$7</f>
        <v>0.11082897684658669</v>
      </c>
    </row>
    <row r="90" spans="1:12" ht="26.25" thickBot="1">
      <c r="A90" s="170" t="s">
        <v>97</v>
      </c>
      <c r="B90" s="171" t="s">
        <v>8</v>
      </c>
      <c r="C90" s="172">
        <f>SUMIF('Prog-I Detalle'!$A$6:$A$6,A90,'Prog-I Detalle'!$C$6:$C$6)</f>
        <v>0</v>
      </c>
      <c r="D90" s="346">
        <f>+C90/$C$75</f>
        <v>0</v>
      </c>
      <c r="E90" s="172">
        <f>SUMIF('Prog-II Detalle'!$A$6:$A$53,A90,'Prog-II Detalle'!$C$6:$C$53)</f>
        <v>0</v>
      </c>
      <c r="F90" s="346">
        <f>+E90/$E$7</f>
        <v>0</v>
      </c>
      <c r="G90" s="172">
        <f>SUMIF('Prog-III Detalle'!$A$6:$A$46,A90,'Prog-III Detalle'!$C$6:$C$46)</f>
        <v>140846139.24</v>
      </c>
      <c r="H90" s="343">
        <f>+G90/$G$7</f>
        <v>0.18325155932838347</v>
      </c>
      <c r="I90" s="172">
        <f>SUMIF('Prog-I Detalle'!$A$6:$A$6,G90,'Prog-I Detalle'!$C$6:$C$6)</f>
        <v>0</v>
      </c>
      <c r="J90" s="346"/>
      <c r="K90" s="172">
        <f>+C90++E90+G90+I90</f>
        <v>140846139.24</v>
      </c>
      <c r="L90" s="357">
        <f>+K90/$K$7</f>
        <v>0.11082897684658669</v>
      </c>
    </row>
    <row r="91" ht="12.75">
      <c r="I91" s="164"/>
    </row>
    <row r="92" ht="12.75">
      <c r="I92" s="164"/>
    </row>
    <row r="93" ht="12.75">
      <c r="I93" s="164"/>
    </row>
    <row r="94" spans="5:9" ht="12.75">
      <c r="E94" s="67" t="s">
        <v>486</v>
      </c>
      <c r="I94" s="164"/>
    </row>
  </sheetData>
  <sheetProtection/>
  <mergeCells count="3">
    <mergeCell ref="A1:L1"/>
    <mergeCell ref="A2:L2"/>
    <mergeCell ref="A3:L3"/>
  </mergeCells>
  <printOptions horizontalCentered="1"/>
  <pageMargins left="0.143700787" right="0.143700787" top="0.196850393700787" bottom="0.19685039370078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tabColor indexed="11"/>
  </sheetPr>
  <dimension ref="A1:I48"/>
  <sheetViews>
    <sheetView showGridLines="0" zoomScalePageLayoutView="0" workbookViewId="0" topLeftCell="A1">
      <selection activeCell="A3" sqref="A3:G3"/>
    </sheetView>
  </sheetViews>
  <sheetFormatPr defaultColWidth="9.140625" defaultRowHeight="12.75"/>
  <cols>
    <col min="1" max="1" width="7.140625" style="0" customWidth="1"/>
    <col min="2" max="2" width="35.8515625" style="0" customWidth="1"/>
    <col min="3" max="3" width="17.7109375" style="0" customWidth="1"/>
    <col min="4" max="4" width="15.140625" style="0" customWidth="1"/>
    <col min="5" max="5" width="18.140625" style="0" customWidth="1"/>
    <col min="6" max="6" width="14.8515625" style="0" customWidth="1"/>
    <col min="7" max="7" width="16.7109375" style="0" customWidth="1"/>
    <col min="8" max="8" width="9.140625" style="0" customWidth="1"/>
    <col min="9" max="9" width="11.7109375" style="0" bestFit="1" customWidth="1"/>
  </cols>
  <sheetData>
    <row r="1" spans="1:7" ht="12.75">
      <c r="A1" s="438" t="str">
        <f>+'Gral. de Egresos'!A1</f>
        <v>MUNICIPALIDAD DE SANTA ANA</v>
      </c>
      <c r="B1" s="438"/>
      <c r="C1" s="438"/>
      <c r="D1" s="438"/>
      <c r="E1" s="438"/>
      <c r="F1" s="438"/>
      <c r="G1" s="438"/>
    </row>
    <row r="2" spans="1:7" ht="12.75">
      <c r="A2" s="439" t="s">
        <v>576</v>
      </c>
      <c r="B2" s="438"/>
      <c r="C2" s="438"/>
      <c r="D2" s="438"/>
      <c r="E2" s="438"/>
      <c r="F2" s="438"/>
      <c r="G2" s="438"/>
    </row>
    <row r="3" spans="1:7" ht="12.75">
      <c r="A3" s="438" t="s">
        <v>43</v>
      </c>
      <c r="B3" s="438"/>
      <c r="C3" s="438"/>
      <c r="D3" s="438"/>
      <c r="E3" s="438"/>
      <c r="F3" s="438"/>
      <c r="G3" s="438"/>
    </row>
    <row r="4" spans="1:7" ht="12.75">
      <c r="A4" s="438" t="s">
        <v>44</v>
      </c>
      <c r="B4" s="438"/>
      <c r="C4" s="438"/>
      <c r="D4" s="438"/>
      <c r="E4" s="438"/>
      <c r="F4" s="438"/>
      <c r="G4" s="438"/>
    </row>
    <row r="6" spans="1:7" ht="51">
      <c r="A6" s="148"/>
      <c r="B6" s="148"/>
      <c r="C6" s="149" t="s">
        <v>79</v>
      </c>
      <c r="D6" s="149" t="s">
        <v>66</v>
      </c>
      <c r="E6" s="149" t="s">
        <v>67</v>
      </c>
      <c r="F6" s="149" t="s">
        <v>119</v>
      </c>
      <c r="G6" s="149" t="s">
        <v>68</v>
      </c>
    </row>
    <row r="7" spans="1:7" s="5" customFormat="1" ht="12.75">
      <c r="A7" s="3"/>
      <c r="B7" s="3"/>
      <c r="C7" s="4"/>
      <c r="D7" s="4"/>
      <c r="E7" s="4"/>
      <c r="F7" s="4"/>
      <c r="G7" s="4"/>
    </row>
    <row r="8" spans="1:7" ht="18" customHeight="1">
      <c r="A8" s="180"/>
      <c r="B8" s="181" t="s">
        <v>63</v>
      </c>
      <c r="C8" s="182">
        <f>SUM(C10:C28)</f>
        <v>165972882.17</v>
      </c>
      <c r="D8" s="182">
        <f>SUM(D10:D28)</f>
        <v>336274811.63</v>
      </c>
      <c r="E8" s="182">
        <f>SUM(E10:E28)</f>
        <v>768594492.49</v>
      </c>
      <c r="F8" s="182">
        <f>+'Gral y X Prog.'!I7</f>
        <v>0</v>
      </c>
      <c r="G8" s="183">
        <f>SUM(G10:G28)</f>
        <v>1270842186.29</v>
      </c>
    </row>
    <row r="9" spans="1:9" ht="12.75">
      <c r="A9" s="6"/>
      <c r="B9" s="7"/>
      <c r="C9" s="12" t="s">
        <v>69</v>
      </c>
      <c r="D9" s="12"/>
      <c r="E9" s="12"/>
      <c r="F9" s="12"/>
      <c r="G9" s="10"/>
      <c r="I9" s="51"/>
    </row>
    <row r="10" spans="1:7" ht="15" customHeight="1">
      <c r="A10" s="6">
        <v>0</v>
      </c>
      <c r="B10" s="7" t="s">
        <v>36</v>
      </c>
      <c r="C10" s="12">
        <f>+'Gral y X Prog.'!C9</f>
        <v>92360893.41</v>
      </c>
      <c r="D10" s="12">
        <f>+'Gral y X Prog.'!E9</f>
        <v>17178002.08</v>
      </c>
      <c r="E10" s="12">
        <f>+'Gral y X Prog.'!G9</f>
        <v>0</v>
      </c>
      <c r="F10" s="12">
        <f>+'Gral y X Prog.'!I9</f>
        <v>0</v>
      </c>
      <c r="G10" s="15">
        <f>+C10+D10+E10+F10</f>
        <v>109538895.49</v>
      </c>
    </row>
    <row r="11" spans="1:7" ht="12.75">
      <c r="A11" s="6"/>
      <c r="B11" s="7"/>
      <c r="C11" s="12"/>
      <c r="D11" s="12"/>
      <c r="E11" s="12"/>
      <c r="F11" s="12"/>
      <c r="G11" s="15"/>
    </row>
    <row r="12" spans="1:7" ht="15" customHeight="1">
      <c r="A12" s="6">
        <v>1</v>
      </c>
      <c r="B12" s="7" t="s">
        <v>37</v>
      </c>
      <c r="C12" s="12">
        <f>'Gral y X Prog.'!C27</f>
        <v>34569882.1</v>
      </c>
      <c r="D12" s="12">
        <f>'Gral y X Prog.'!E27</f>
        <v>59224940.519999996</v>
      </c>
      <c r="E12" s="12">
        <f>+'Gral y X Prog.'!G27</f>
        <v>9783000</v>
      </c>
      <c r="F12" s="12">
        <f>+'Gral y X Prog.'!I27</f>
        <v>0</v>
      </c>
      <c r="G12" s="15">
        <f>+C12+D12+E12+F12</f>
        <v>103577822.62</v>
      </c>
    </row>
    <row r="13" spans="1:7" ht="12.75">
      <c r="A13" s="6"/>
      <c r="B13" s="7"/>
      <c r="C13" s="12"/>
      <c r="D13" s="12"/>
      <c r="E13" s="12"/>
      <c r="F13" s="12"/>
      <c r="G13" s="15"/>
    </row>
    <row r="14" spans="1:7" ht="15" customHeight="1">
      <c r="A14" s="6">
        <v>2</v>
      </c>
      <c r="B14" s="7" t="s">
        <v>38</v>
      </c>
      <c r="C14" s="12">
        <f>+'Gral y X Prog.'!C43</f>
        <v>0</v>
      </c>
      <c r="D14" s="12">
        <f>+'Gral y X Prog.'!E43</f>
        <v>13650000</v>
      </c>
      <c r="E14" s="12">
        <f>+'Gral y X Prog.'!G43</f>
        <v>2121416.26</v>
      </c>
      <c r="F14" s="12">
        <f>+'Gral y X Prog.'!I43</f>
        <v>0</v>
      </c>
      <c r="G14" s="15">
        <f>+C14+D14+E14+F14</f>
        <v>15771416.26</v>
      </c>
    </row>
    <row r="15" spans="1:7" ht="12.75">
      <c r="A15" s="6"/>
      <c r="B15" s="7"/>
      <c r="C15" s="12"/>
      <c r="D15" s="12"/>
      <c r="E15" s="12"/>
      <c r="F15" s="12"/>
      <c r="G15" s="15"/>
    </row>
    <row r="16" spans="1:7" ht="15" customHeight="1">
      <c r="A16" s="6">
        <v>3</v>
      </c>
      <c r="B16" s="7" t="s">
        <v>39</v>
      </c>
      <c r="C16" s="12">
        <f>+'Gral y X Prog.'!C59</f>
        <v>0</v>
      </c>
      <c r="D16" s="12">
        <f>+'Gral y X Prog.'!E59</f>
        <v>0</v>
      </c>
      <c r="E16" s="12">
        <f>+'Gral y X Prog.'!G59</f>
        <v>0</v>
      </c>
      <c r="F16" s="12">
        <f>+'Gral y X Prog.'!I59</f>
        <v>0</v>
      </c>
      <c r="G16" s="15">
        <f>+C16+D16+E16+F16</f>
        <v>0</v>
      </c>
    </row>
    <row r="17" spans="1:7" ht="12.75">
      <c r="A17" s="6"/>
      <c r="B17" s="7"/>
      <c r="C17" s="12"/>
      <c r="D17" s="12"/>
      <c r="E17" s="12"/>
      <c r="F17" s="12"/>
      <c r="G17" s="15"/>
    </row>
    <row r="18" spans="1:7" ht="15.75" customHeight="1">
      <c r="A18" s="6">
        <v>4</v>
      </c>
      <c r="B18" s="7" t="s">
        <v>64</v>
      </c>
      <c r="C18" s="12">
        <v>0</v>
      </c>
      <c r="D18" s="12">
        <v>0</v>
      </c>
      <c r="E18" s="12">
        <v>0</v>
      </c>
      <c r="F18" s="12">
        <v>0</v>
      </c>
      <c r="G18" s="15">
        <f>+C18+D18+E18+F18</f>
        <v>0</v>
      </c>
    </row>
    <row r="19" spans="1:7" ht="12.75">
      <c r="A19" s="6"/>
      <c r="B19" s="7"/>
      <c r="C19" s="12"/>
      <c r="D19" s="12"/>
      <c r="E19" s="12"/>
      <c r="F19" s="12"/>
      <c r="G19" s="15"/>
    </row>
    <row r="20" spans="1:7" ht="15" customHeight="1">
      <c r="A20" s="6">
        <v>5</v>
      </c>
      <c r="B20" s="7" t="s">
        <v>23</v>
      </c>
      <c r="C20" s="12">
        <f>+'Gral y X Prog.'!C61</f>
        <v>20000000</v>
      </c>
      <c r="D20" s="12">
        <f>+'Gral y X Prog.'!E61</f>
        <v>88463737.92999999</v>
      </c>
      <c r="E20" s="12">
        <f>+'Gral y X Prog.'!G61</f>
        <v>507246298.71000004</v>
      </c>
      <c r="F20" s="12">
        <f>+'Gral y X Prog.'!I61</f>
        <v>0</v>
      </c>
      <c r="G20" s="15">
        <f>+C20+D20+E20+F20</f>
        <v>615710036.64</v>
      </c>
    </row>
    <row r="21" spans="1:7" ht="12.75">
      <c r="A21" s="6"/>
      <c r="B21" s="7"/>
      <c r="C21" s="12"/>
      <c r="D21" s="12"/>
      <c r="E21" s="12"/>
      <c r="F21" s="12"/>
      <c r="G21" s="15"/>
    </row>
    <row r="22" spans="1:7" ht="15" customHeight="1">
      <c r="A22" s="6">
        <v>6</v>
      </c>
      <c r="B22" s="7" t="s">
        <v>40</v>
      </c>
      <c r="C22" s="12">
        <f>'Gral y X Prog.'!C75</f>
        <v>19042106.66</v>
      </c>
      <c r="D22" s="12">
        <f>+'Gral y X Prog.'!E75</f>
        <v>87204641.35</v>
      </c>
      <c r="E22" s="12">
        <f>+'Gral y X Prog.'!G75</f>
        <v>2433784.08</v>
      </c>
      <c r="F22" s="12">
        <f>+'Gral y X Prog.'!I75</f>
        <v>0</v>
      </c>
      <c r="G22" s="15">
        <f>+C22+D22+E22+F22</f>
        <v>108680532.08999999</v>
      </c>
    </row>
    <row r="23" spans="1:7" ht="12.75">
      <c r="A23" s="6"/>
      <c r="B23" s="7"/>
      <c r="C23" s="12"/>
      <c r="D23" s="12"/>
      <c r="E23" s="12"/>
      <c r="F23" s="12"/>
      <c r="G23" s="15"/>
    </row>
    <row r="24" spans="1:7" ht="15" customHeight="1">
      <c r="A24" s="6">
        <v>7</v>
      </c>
      <c r="B24" s="7" t="s">
        <v>41</v>
      </c>
      <c r="C24" s="12">
        <f>+'Gral y X Prog.'!C83</f>
        <v>0</v>
      </c>
      <c r="D24" s="12">
        <f>+'Gral y X Prog.'!E83</f>
        <v>70553489.75</v>
      </c>
      <c r="E24" s="12">
        <f>+'Gral y X Prog.'!G83</f>
        <v>106163854.2</v>
      </c>
      <c r="F24" s="12">
        <f>+'Gral y X Prog.'!I83</f>
        <v>0</v>
      </c>
      <c r="G24" s="15">
        <f>+C24+D24+E24+F24</f>
        <v>176717343.95</v>
      </c>
    </row>
    <row r="25" spans="1:7" ht="13.5" customHeight="1">
      <c r="A25" s="6"/>
      <c r="B25" s="7"/>
      <c r="C25" s="12"/>
      <c r="D25" s="12"/>
      <c r="E25" s="12"/>
      <c r="F25" s="12"/>
      <c r="G25" s="15"/>
    </row>
    <row r="26" spans="1:7" ht="15.75" customHeight="1">
      <c r="A26" s="6">
        <v>8</v>
      </c>
      <c r="B26" s="7" t="s">
        <v>42</v>
      </c>
      <c r="C26" s="12">
        <f>+'Gral y X Prog.'!C87</f>
        <v>0</v>
      </c>
      <c r="D26" s="12">
        <f>+'Gral y X Prog.'!E87</f>
        <v>0</v>
      </c>
      <c r="E26" s="12">
        <f>+'Gral y X Prog.'!G87</f>
        <v>0</v>
      </c>
      <c r="F26" s="12">
        <f>+'Gral y X Prog.'!I87</f>
        <v>0</v>
      </c>
      <c r="G26" s="15">
        <f>+C26+D26+E26+F26</f>
        <v>0</v>
      </c>
    </row>
    <row r="27" spans="1:7" ht="12.75">
      <c r="A27" s="6"/>
      <c r="B27" s="7"/>
      <c r="C27" s="12"/>
      <c r="D27" s="12"/>
      <c r="E27" s="12"/>
      <c r="F27" s="12"/>
      <c r="G27" s="15"/>
    </row>
    <row r="28" spans="1:7" ht="15" customHeight="1">
      <c r="A28" s="6">
        <v>9</v>
      </c>
      <c r="B28" s="7" t="s">
        <v>65</v>
      </c>
      <c r="C28" s="12">
        <f>+'Gral y X Prog.'!C89</f>
        <v>0</v>
      </c>
      <c r="D28" s="12">
        <f>+'Gral y X Prog.'!E89</f>
        <v>0</v>
      </c>
      <c r="E28" s="12">
        <f>+'Gral y X Prog.'!G89</f>
        <v>140846139.24</v>
      </c>
      <c r="F28" s="12">
        <v>0</v>
      </c>
      <c r="G28" s="15">
        <f>+C28+D28+E28+F28</f>
        <v>140846139.24</v>
      </c>
    </row>
    <row r="29" spans="1:7" ht="12.75">
      <c r="A29" s="11"/>
      <c r="B29" s="8"/>
      <c r="C29" s="8"/>
      <c r="D29" s="8"/>
      <c r="E29" s="8"/>
      <c r="F29" s="8"/>
      <c r="G29" s="9"/>
    </row>
    <row r="30" ht="12.75">
      <c r="D30" s="1"/>
    </row>
    <row r="34" ht="12.75">
      <c r="E34" s="1"/>
    </row>
    <row r="48" ht="12.75">
      <c r="G48" s="1"/>
    </row>
  </sheetData>
  <sheetProtection/>
  <mergeCells count="4">
    <mergeCell ref="A1:G1"/>
    <mergeCell ref="A2:G2"/>
    <mergeCell ref="A3:G3"/>
    <mergeCell ref="A4:G4"/>
  </mergeCells>
  <printOptions horizontalCentered="1"/>
  <pageMargins left="0.7874015748031497" right="0.7874015748031497" top="0.7480314960629921" bottom="0.984251968503937" header="0" footer="0"/>
  <pageSetup horizontalDpi="600" verticalDpi="600" orientation="portrait" scale="70" r:id="rId2"/>
  <ignoredErrors>
    <ignoredError sqref="F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Rebeca Vasquez</cp:lastModifiedBy>
  <cp:lastPrinted>2019-11-18T14:35:45Z</cp:lastPrinted>
  <dcterms:created xsi:type="dcterms:W3CDTF">1996-11-27T10:00:04Z</dcterms:created>
  <dcterms:modified xsi:type="dcterms:W3CDTF">2019-11-21T20:21:39Z</dcterms:modified>
  <cp:category/>
  <cp:version/>
  <cp:contentType/>
  <cp:contentStatus/>
</cp:coreProperties>
</file>