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45" activeTab="0"/>
  </bookViews>
  <sheets>
    <sheet name="Ingresos" sheetId="1" r:id="rId1"/>
    <sheet name="Just. Ingresos" sheetId="2" r:id="rId2"/>
    <sheet name="JUSTIFICACION EGRESOS" sheetId="3" r:id="rId3"/>
    <sheet name="Prog-I Detalle" sheetId="4" r:id="rId4"/>
    <sheet name="Prog-II Detalle" sheetId="5" r:id="rId5"/>
    <sheet name="Prog-III Detalle" sheetId="6" r:id="rId6"/>
    <sheet name="Prog-IV Detalle" sheetId="7" r:id="rId7"/>
    <sheet name="Gral y X Prog." sheetId="8" r:id="rId8"/>
    <sheet name="Eg. X Partida" sheetId="9" r:id="rId9"/>
    <sheet name="Gral. de Egresos" sheetId="10" r:id="rId10"/>
    <sheet name="Anexo 6" sheetId="11" r:id="rId11"/>
    <sheet name="Cuadro 5" sheetId="12" r:id="rId12"/>
    <sheet name="ORIGEN Y APLICACION" sheetId="13" r:id="rId13"/>
    <sheet name="Indice" sheetId="14" r:id="rId14"/>
    <sheet name="Hoja2" sheetId="15" r:id="rId15"/>
    <sheet name="Hoja3" sheetId="16" r:id="rId16"/>
    <sheet name="Hoja1" sheetId="17" r:id="rId17"/>
    <sheet name="Hoja4" sheetId="18" r:id="rId18"/>
    <sheet name="Hoja5" sheetId="19" r:id="rId19"/>
    <sheet name="Hoja6" sheetId="20" r:id="rId20"/>
  </sheets>
  <externalReferences>
    <externalReference r:id="rId23"/>
  </externalReferences>
  <definedNames>
    <definedName name="_xlnm.Print_Area" localSheetId="8">'Eg. X Partida'!$A$1:$G$31</definedName>
    <definedName name="_xlnm.Print_Area" localSheetId="7">'Gral y X Prog.'!$A$1:$L$71</definedName>
    <definedName name="_xlnm.Print_Area" localSheetId="0">'Ingresos'!$A$1:$D$15</definedName>
    <definedName name="_xlnm.Print_Area" localSheetId="1">'Just. Ingresos'!$A$1:$F$31</definedName>
    <definedName name="_xlnm.Print_Area" localSheetId="2">'JUSTIFICACION EGRESOS'!$A$1:$I$241</definedName>
    <definedName name="_xlnm.Print_Area" localSheetId="12">'ORIGEN Y APLICACION'!$A$1:$H$97</definedName>
    <definedName name="_xlnm.Print_Area" localSheetId="3">'Prog-I Detalle'!$A$1:$D$15</definedName>
    <definedName name="_xlnm.Print_Area" localSheetId="4">'Prog-II Detalle'!$A$1:$D$55</definedName>
    <definedName name="_xlnm.Print_Area" localSheetId="5">'Prog-III Detalle'!$A$1:$D$26</definedName>
    <definedName name="_xlnm.Print_Area" localSheetId="6">'Prog-IV Detalle'!$A$1:$D$14</definedName>
    <definedName name="_xlnm.Print_Titles" localSheetId="7">'Gral y X Prog.'!$A:$L,'Gral y X Prog.'!$1:$7</definedName>
    <definedName name="_xlnm.Print_Titles" localSheetId="13">'Indice'!$1:$5</definedName>
    <definedName name="_xlnm.Print_Titles" localSheetId="1">'Just. Ingresos'!$A:$F,'Just. Ingresos'!$1:$4</definedName>
    <definedName name="_xlnm.Print_Titles" localSheetId="2">'JUSTIFICACION EGRESOS'!$A:$I,'JUSTIFICACION EGRESOS'!$1:$4</definedName>
    <definedName name="_xlnm.Print_Titles" localSheetId="12">'ORIGEN Y APLICACION'!$A:$H,'ORIGEN Y APLICACION'!$1:$7</definedName>
    <definedName name="_xlnm.Print_Titles" localSheetId="3">'Prog-I Detalle'!$1:$6</definedName>
    <definedName name="_xlnm.Print_Titles" localSheetId="4">'Prog-II Detalle'!$1:$5</definedName>
    <definedName name="_xlnm.Print_Titles" localSheetId="5">'Prog-III Detalle'!$A:$D,'Prog-III Detalle'!$1:$5</definedName>
    <definedName name="_xlnm.Print_Titles" localSheetId="6">'Prog-IV Detalle'!$1:$5</definedName>
  </definedNames>
  <calcPr fullCalcOnLoad="1"/>
</workbook>
</file>

<file path=xl/comments1.xml><?xml version="1.0" encoding="utf-8"?>
<comments xmlns="http://schemas.openxmlformats.org/spreadsheetml/2006/main">
  <authors>
    <author>Rebeca Vasquez</author>
  </authors>
  <commentList>
    <comment ref="C8" authorId="0">
      <text>
        <r>
          <rPr>
            <b/>
            <sz val="9"/>
            <rFont val="Tahoma"/>
            <family val="2"/>
          </rPr>
          <t>Rebeca Vasquez:</t>
        </r>
        <r>
          <rPr>
            <sz val="9"/>
            <rFont val="Tahoma"/>
            <family val="2"/>
          </rPr>
          <t xml:space="preserve">
Transferencia 2018 Comité Persona Joven </t>
        </r>
      </text>
    </comment>
    <comment ref="C9" authorId="0">
      <text>
        <r>
          <rPr>
            <b/>
            <sz val="9"/>
            <rFont val="Tahoma"/>
            <family val="2"/>
          </rPr>
          <t>Rebeca Vasquez:</t>
        </r>
        <r>
          <rPr>
            <sz val="9"/>
            <rFont val="Tahoma"/>
            <family val="2"/>
          </rPr>
          <t xml:space="preserve">
Aporte adicional de CONAPAM, para Centro Diurno Ley 9188 (34.678.00,00), Transferencia Multas de Tránsito (13.950.079,68)
</t>
        </r>
      </text>
    </comment>
  </commentList>
</comments>
</file>

<file path=xl/comments12.xml><?xml version="1.0" encoding="utf-8"?>
<comments xmlns="http://schemas.openxmlformats.org/spreadsheetml/2006/main">
  <authors>
    <author>Flor de Mar?a Alfaro</author>
  </authors>
  <commentList>
    <comment ref="A4" authorId="0">
      <text>
        <r>
          <rPr>
            <sz val="8"/>
            <rFont val="Tahoma"/>
            <family val="2"/>
          </rPr>
          <t xml:space="preserve">NO REMITIR RENGLONES SIN DATOS.
</t>
        </r>
      </text>
    </comment>
  </commentList>
</comments>
</file>

<file path=xl/sharedStrings.xml><?xml version="1.0" encoding="utf-8"?>
<sst xmlns="http://schemas.openxmlformats.org/spreadsheetml/2006/main" count="913" uniqueCount="544">
  <si>
    <t>Mat y Productos Minerales y Asfálticos</t>
  </si>
  <si>
    <t>Equipo y Mob Edu, Deport y Recreativo.</t>
  </si>
  <si>
    <t>Otras Construc, adiciones y mejoras</t>
  </si>
  <si>
    <t>Transf corrientes organos desconcent</t>
  </si>
  <si>
    <t>Transf corr Inst. Desc. No Empresariales</t>
  </si>
  <si>
    <t>Transf corrientes Gobiernos Locales</t>
  </si>
  <si>
    <t>Trasnf Capital Instit decent no empres</t>
  </si>
  <si>
    <t>Amort Prést. Instit Des. No Empresariales</t>
  </si>
  <si>
    <t>Sumas Destino especifico sin asignación presupuestaria</t>
  </si>
  <si>
    <t>Vías de Comunicación</t>
  </si>
  <si>
    <t>**,**,03,04,03</t>
  </si>
  <si>
    <t>Comisiones y Otros Gastos S/Prés. Inte</t>
  </si>
  <si>
    <t>Cuentas especiales</t>
  </si>
  <si>
    <t>Monto</t>
  </si>
  <si>
    <t>Comentarios</t>
  </si>
  <si>
    <t>DETALLE GENERAL DE INGRESOS</t>
  </si>
  <si>
    <t>DETALLE</t>
  </si>
  <si>
    <t>Total</t>
  </si>
  <si>
    <t>MUNICIPALIDAD DE SANTA ANA</t>
  </si>
  <si>
    <t>CÓDIGO</t>
  </si>
  <si>
    <t>NOMBRE DE LA CUENTA</t>
  </si>
  <si>
    <t>MONTO</t>
  </si>
  <si>
    <t>PROGRAMA II</t>
  </si>
  <si>
    <t>PROGRAMA I</t>
  </si>
  <si>
    <t>BIENES DURADEROS</t>
  </si>
  <si>
    <t>PROGRAMA III</t>
  </si>
  <si>
    <t>Bienes Duraderos</t>
  </si>
  <si>
    <t>Equipo de Transporte</t>
  </si>
  <si>
    <t>Eq. Y Prog. De Cómputo</t>
  </si>
  <si>
    <t>Servicios</t>
  </si>
  <si>
    <t>Materiales y Suministros</t>
  </si>
  <si>
    <t>Alimentos y Bebidas</t>
  </si>
  <si>
    <t>DETALLE GENERAL DE EGRESOS</t>
  </si>
  <si>
    <t>CUENTA</t>
  </si>
  <si>
    <t>PRESUPUESTO</t>
  </si>
  <si>
    <t>%</t>
  </si>
  <si>
    <t>TOTAL</t>
  </si>
  <si>
    <t>REMUNERACIONES</t>
  </si>
  <si>
    <t>SERVICIOS</t>
  </si>
  <si>
    <t>MATERIALES Y SUMINISTROS</t>
  </si>
  <si>
    <t>INTERESES Y COMISIONES</t>
  </si>
  <si>
    <t>TRANSFERENCIAS CORRIENTES</t>
  </si>
  <si>
    <t>TRANSFERENCIAS DE CAPITAL</t>
  </si>
  <si>
    <t>AMORTIZACIÓN</t>
  </si>
  <si>
    <t>SECCIÓN DE EGRESOS POR PARTIDA</t>
  </si>
  <si>
    <t>GENERAL Y POR PROGRAMA</t>
  </si>
  <si>
    <t xml:space="preserve">JUSTIFICACIÓN DE INGRESOS </t>
  </si>
  <si>
    <t>Superávit 10% Juntas de Educación.</t>
  </si>
  <si>
    <t>PROGRAMA I: ADMINISTRACION</t>
  </si>
  <si>
    <t>I</t>
  </si>
  <si>
    <t>Saldo de Partidas Específicas</t>
  </si>
  <si>
    <t>22</t>
  </si>
  <si>
    <t xml:space="preserve">TOTAL </t>
  </si>
  <si>
    <t>Firma del funcionario responsable</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</si>
  <si>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</si>
  <si>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</si>
  <si>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</si>
  <si>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</si>
  <si>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</si>
  <si>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</si>
  <si>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</si>
  <si>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Elaborado por: Rebeca Vásquez Herrera</t>
  </si>
  <si>
    <t>Anexo N°6 Aportes en especie para servicios y proyectos comunales</t>
  </si>
  <si>
    <t>PARTIDA</t>
  </si>
  <si>
    <t>TOTALES POR EL OBJETO DEL GASTO</t>
  </si>
  <si>
    <t>ACTIVOS FINANCIEROS</t>
  </si>
  <si>
    <t>CUENTAS ESPECIALES</t>
  </si>
  <si>
    <t>PROGRAMA II: Servicios Comunales</t>
  </si>
  <si>
    <t>PROGRAMA III: Inversiones</t>
  </si>
  <si>
    <t>TOTALES</t>
  </si>
  <si>
    <t xml:space="preserve">     </t>
  </si>
  <si>
    <t>CUADRO No. 1</t>
  </si>
  <si>
    <t>DETALLE DE ORIGEN Y APLICACIÓN DE RECURSOS ESPECÍFICOS</t>
  </si>
  <si>
    <t>INGRESO ESPECÍFICO</t>
  </si>
  <si>
    <t>CODIGO SEGÚN CLASIFICADOR DE INGRESOS</t>
  </si>
  <si>
    <t>APLICACIÓN</t>
  </si>
  <si>
    <t>Programa</t>
  </si>
  <si>
    <t>Act/Serv/Grupo</t>
  </si>
  <si>
    <t>Proyecto</t>
  </si>
  <si>
    <t>SECCIÓN DE EGRESOS DETALLADOS GENERAL Y POR PROGRAMA</t>
  </si>
  <si>
    <t>PROGRAMA I: Dirección y Administración General</t>
  </si>
  <si>
    <t>**,**,01,01,02</t>
  </si>
  <si>
    <t>**,**,01,04,99</t>
  </si>
  <si>
    <t>**,**,02,01,04</t>
  </si>
  <si>
    <t>**,**,02,02,03</t>
  </si>
  <si>
    <t>**,**,02,03,02</t>
  </si>
  <si>
    <t>**,**,05,01,02</t>
  </si>
  <si>
    <t>**,**,05,01,04</t>
  </si>
  <si>
    <t>**,**,05,01,05</t>
  </si>
  <si>
    <t>**,**,05,01,07</t>
  </si>
  <si>
    <t>**,**,05,02,01</t>
  </si>
  <si>
    <t>**,**,05,02,02</t>
  </si>
  <si>
    <t>**,**,05,02,99</t>
  </si>
  <si>
    <t>**,**,06,01,02</t>
  </si>
  <si>
    <t>**,**,06,01,03</t>
  </si>
  <si>
    <t>**,**,06,01,04</t>
  </si>
  <si>
    <t>**,**,07,01,03</t>
  </si>
  <si>
    <t>**,**,08,02,03</t>
  </si>
  <si>
    <t>**,**,09,02,02</t>
  </si>
  <si>
    <t>CODIGO</t>
  </si>
  <si>
    <t xml:space="preserve">MONTO </t>
  </si>
  <si>
    <t xml:space="preserve">TOTAL DE INGRESOS ANTES SUPERÁVIT </t>
  </si>
  <si>
    <t>3,3,1,0,00,00,0,0,000</t>
  </si>
  <si>
    <t>3,3,2,0,00,00,0,0,000</t>
  </si>
  <si>
    <t>TOTAL DE INGRESOS</t>
  </si>
  <si>
    <t>JUSTIFICACIÓN DE EGRESOS</t>
  </si>
  <si>
    <t>Servicios:</t>
  </si>
  <si>
    <t>Tintas, Pinturas y Diluyentes</t>
  </si>
  <si>
    <t>Remuneraciones</t>
  </si>
  <si>
    <t>II</t>
  </si>
  <si>
    <t>09</t>
  </si>
  <si>
    <t>IV</t>
  </si>
  <si>
    <t>3,3,0,0,00,00,0,0,000</t>
  </si>
  <si>
    <t>Otros Proyectos</t>
  </si>
  <si>
    <t>RECURSOS DE VIGENCIAS ANTERIORES</t>
  </si>
  <si>
    <t>Materiales y Suministros:</t>
  </si>
  <si>
    <t>Transferencias Corrientes</t>
  </si>
  <si>
    <t>Otros servicios de Gestión y Apoyo</t>
  </si>
  <si>
    <t>01</t>
  </si>
  <si>
    <t>02</t>
  </si>
  <si>
    <t>Edificios</t>
  </si>
  <si>
    <t>Programa IV: Part. Específicas</t>
  </si>
  <si>
    <t>PROGRAMA IV: Partidas Específicas</t>
  </si>
  <si>
    <t>Cuenta Presupuestaria</t>
  </si>
  <si>
    <t>Alquiler de Maquinaria, Equipo y Mob.</t>
  </si>
  <si>
    <t>Equipo y Mobiliario de Oficina</t>
  </si>
  <si>
    <t>Intereses y Comisiones</t>
  </si>
  <si>
    <t>INDICE</t>
  </si>
  <si>
    <t>Justificación de Egresos Programa I</t>
  </si>
  <si>
    <t>Justificación de Egresos Programa II</t>
  </si>
  <si>
    <t>Justificación de Egresos Programa III</t>
  </si>
  <si>
    <t>Detalle de General de Ingresos</t>
  </si>
  <si>
    <t>Sección de Egresos Detallados General y por Programa</t>
  </si>
  <si>
    <t>Detalle de Origen y Aplicación de Recursos Específicos</t>
  </si>
  <si>
    <t>Justificación de Egresos Programa IV</t>
  </si>
  <si>
    <t>Edificios:</t>
  </si>
  <si>
    <t>Vías de Comunicación:</t>
  </si>
  <si>
    <t>Justificación de los Ingresos</t>
  </si>
  <si>
    <t>Amortización</t>
  </si>
  <si>
    <t>Transferencias de Capital</t>
  </si>
  <si>
    <t>Sección de Egresos por Partida General y por Programa</t>
  </si>
  <si>
    <t>Vías de Comunicación Terrestre</t>
  </si>
  <si>
    <t>III</t>
  </si>
  <si>
    <t>PROGRAMA IV</t>
  </si>
  <si>
    <t>Juntas de educación, 10% impuesto territorial y 10% IBI, Leyes 7509 y 7729</t>
  </si>
  <si>
    <t>Equipamiento de la Escuela Municipal de Artes Integradas</t>
  </si>
  <si>
    <t>Transf. Corrientes Inst. Descent. no Empre.</t>
  </si>
  <si>
    <t>01,04,06,01,02</t>
  </si>
  <si>
    <t>01,04,06,01,03</t>
  </si>
  <si>
    <t>Superávit Juntas de Educación</t>
  </si>
  <si>
    <t>Consejo de Seguridad Vial, art. 217, Ley 7331-93</t>
  </si>
  <si>
    <t>Seguridad Víal</t>
  </si>
  <si>
    <t>Gastos de sanidad, artículo 47 Ley 5412-73</t>
  </si>
  <si>
    <t>Fondo Ley Simplificación y Eficiencia Tributarias Ley Nº 8114</t>
  </si>
  <si>
    <t>Proyectos de la Persona Joven</t>
  </si>
  <si>
    <t>07</t>
  </si>
  <si>
    <t>04</t>
  </si>
  <si>
    <t>Anexo Nº 6</t>
  </si>
  <si>
    <t>Aportes en especie para servicios y proyectos comunales.</t>
  </si>
  <si>
    <t>BENEFICIARIO</t>
  </si>
  <si>
    <t>TOTAL (Debe ser igual al Servicio 31: Aportes en especie para servicios y proyectos).</t>
  </si>
  <si>
    <t>Elaborado por Rebeca Vásquez Herrera</t>
  </si>
  <si>
    <t>Matrícula EMAI</t>
  </si>
  <si>
    <t>Cuadro Nº5. Transferencias corrientes y de capital a favor de entidades privadas sin fines de lucro</t>
  </si>
  <si>
    <t>Detalle Gastos Programa I</t>
  </si>
  <si>
    <t>Detalle Gastos Programa II</t>
  </si>
  <si>
    <t>Detalle Gastos Programa III</t>
  </si>
  <si>
    <t>Detalle Gastos Programa IV</t>
  </si>
  <si>
    <t>Cuenta General</t>
  </si>
  <si>
    <t>Maquinaria y Equipo Diverso</t>
  </si>
  <si>
    <t>Maderas y sus derivados</t>
  </si>
  <si>
    <t>Fondo del Impuesto sobre bienes inmuebles, 76% Ley Nº 7729</t>
  </si>
  <si>
    <t>Fondo de Parques Obras y Ornato</t>
  </si>
  <si>
    <t>Otros incentivos salariales</t>
  </si>
  <si>
    <t>10</t>
  </si>
  <si>
    <t>**,**,05,01,03</t>
  </si>
  <si>
    <t>Equipo de Comunicación</t>
  </si>
  <si>
    <t>**,**,02,03,01</t>
  </si>
  <si>
    <t>Materiales y productos Metálicos</t>
  </si>
  <si>
    <t>**,**,02,03,03</t>
  </si>
  <si>
    <t>**,**,01,03,02</t>
  </si>
  <si>
    <t>**,**,05,01,99</t>
  </si>
  <si>
    <t>04,02,00,05,02,02</t>
  </si>
  <si>
    <t>04,06,00,05,02,99</t>
  </si>
  <si>
    <t>**,**,00,03,99</t>
  </si>
  <si>
    <t>06</t>
  </si>
  <si>
    <t>05</t>
  </si>
  <si>
    <t>Detalle General de Egresos</t>
  </si>
  <si>
    <t>15</t>
  </si>
  <si>
    <t>21</t>
  </si>
  <si>
    <t>1,4,1,2,00,00,0,0,000</t>
  </si>
  <si>
    <t>Textiles y vestuarios</t>
  </si>
  <si>
    <t>Transporte dentro del país</t>
  </si>
  <si>
    <t>**,**,06,03,99</t>
  </si>
  <si>
    <t>Transferencias a terceras personas</t>
  </si>
  <si>
    <t>**,**,02,99,04</t>
  </si>
  <si>
    <t>**,**,01,05,01</t>
  </si>
  <si>
    <t>03</t>
  </si>
  <si>
    <t>**,**,05,01,01</t>
  </si>
  <si>
    <t>Equipo de Producción</t>
  </si>
  <si>
    <t>Servicios en ciencias económicas y sociales</t>
  </si>
  <si>
    <t>**,**,01,04,04</t>
  </si>
  <si>
    <t>Otros Fondos e inversión</t>
  </si>
  <si>
    <t>16</t>
  </si>
  <si>
    <t>Otros servicios de gestión y apoyo</t>
  </si>
  <si>
    <t>Construcción y Equipamiento del Cecudi Lindora</t>
  </si>
  <si>
    <t>Construcción de Hogar de Ancianos Ensueños de Oro</t>
  </si>
  <si>
    <t>03,01,00,05,01,99</t>
  </si>
  <si>
    <t>02,10,10,06,03,99</t>
  </si>
  <si>
    <t>02,10,09,01,04,99</t>
  </si>
  <si>
    <t>Educacional Deportivo y Recreativo</t>
  </si>
  <si>
    <t>04,02,00,05,01,03</t>
  </si>
  <si>
    <t>Fondo Aseo de Vías</t>
  </si>
  <si>
    <t>Servicios Socials y Complementarios</t>
  </si>
  <si>
    <t>Parques y Ornato</t>
  </si>
  <si>
    <t>Servicios Sociales y Complementarios</t>
  </si>
  <si>
    <t>Prestaciones Legales</t>
  </si>
  <si>
    <t>**,**,06,03,01</t>
  </si>
  <si>
    <t>**,**,00,01,01</t>
  </si>
  <si>
    <t>Sueldos Fijos</t>
  </si>
  <si>
    <t>Aseo de Vías y Sitios Públicos</t>
  </si>
  <si>
    <t>TRANSFERENCIAS CORRIENTES A GOBIERNOS LOCALES</t>
  </si>
  <si>
    <t>Otros proyectos</t>
  </si>
  <si>
    <t>27</t>
  </si>
  <si>
    <t>Partidas Presupuestarias 2016, incluidas en la Ley de Presupuesto de la República 2016. Publicada en la Ley 9341 Ley Presupuesto Ordinairo  y Extraordinario de la República para el ejercicio económico 2016</t>
  </si>
  <si>
    <t>01,04,06,01,04</t>
  </si>
  <si>
    <t>Transf. corrientes a gobiernos locales</t>
  </si>
  <si>
    <t>Otras prestaciones a terceras personas</t>
  </si>
  <si>
    <t>Mantenimiento de edificios y locales</t>
  </si>
  <si>
    <t>Transferencias corrientes de Órganos Desconcentrados</t>
  </si>
  <si>
    <t>Superávit Específico Remanente 2016</t>
  </si>
  <si>
    <t>Transferencias de corriente del Gobierno Central</t>
  </si>
  <si>
    <t>Educacional Deportivos y Educativos</t>
  </si>
  <si>
    <t>Código</t>
  </si>
  <si>
    <t xml:space="preserve">Mejoramiento de la cancha multiusos de Brasil </t>
  </si>
  <si>
    <t>Comité Cantonal de Deportes y Recreación de Santa Ana</t>
  </si>
  <si>
    <t>FODESAF Red de Cuido Construcción y Equipamiento</t>
  </si>
  <si>
    <t>FODESAF Red de Cuido Venta de Servicios</t>
  </si>
  <si>
    <t>Compra de pupitres para el Colegio de Santa Ana</t>
  </si>
  <si>
    <t>Administración General</t>
  </si>
  <si>
    <t>**,**,01,08,01</t>
  </si>
  <si>
    <t>**,**,07,03,01</t>
  </si>
  <si>
    <t>Transferencia de capital a asociaciones</t>
  </si>
  <si>
    <t>Mantenimiento de Caminos y Calles</t>
  </si>
  <si>
    <t>23</t>
  </si>
  <si>
    <t>01,01,01,04,04</t>
  </si>
  <si>
    <t>**,**,07,01,04</t>
  </si>
  <si>
    <t>Transferencia de capital a gobiernos locales</t>
  </si>
  <si>
    <t>Materiales y productos de plástico</t>
  </si>
  <si>
    <t>**,**,02,03,06</t>
  </si>
  <si>
    <t>Plan de lotificación</t>
  </si>
  <si>
    <t>04,01,00,02,03,02</t>
  </si>
  <si>
    <t>Comité Cantonal de Deportes y Recreación</t>
  </si>
  <si>
    <t>Art 62 Código Municipal</t>
  </si>
  <si>
    <t>20</t>
  </si>
  <si>
    <t>31</t>
  </si>
  <si>
    <t>Superávit Libre 2017</t>
  </si>
  <si>
    <t>Superávit Específico Remanente 2017</t>
  </si>
  <si>
    <t>PRESUPUESTO EXTRAORDINARIO 01-2018</t>
  </si>
  <si>
    <t>Superávit 2017, Comité Cantonal de Deportes y Recreación de Santa Ana</t>
  </si>
  <si>
    <t>Transf. corrientes inst. descentralizadas no empre.</t>
  </si>
  <si>
    <t>Superávit 2017, Consejo Nacional Personas con Discapacidad</t>
  </si>
  <si>
    <t>Se recupera a solicitud de la Proveedora Municipal para la Auditoria Externa según acuerdo del Concejo Municipal</t>
  </si>
  <si>
    <t>Superávirt 2017, de las  ayudas a los Adultos Mayores, de la transferencia que se recibe de CONAPAM</t>
  </si>
  <si>
    <t>Superávirt 2017, subsidios niños CECUDI Lindora</t>
  </si>
  <si>
    <t>Mejoras y Construccion de Infraestructura Deportivas del Canton</t>
  </si>
  <si>
    <t>Construcciones y mejoras deportivas del Canton</t>
  </si>
  <si>
    <t>Construcción Salón Parroquial en la comunidad de Matinilla, Distrito de Salitral</t>
  </si>
  <si>
    <t>MEJORAMIENTO DE LA CANCHA MULTIUSOS DE BRASIL</t>
  </si>
  <si>
    <t>Remodel e Instalac del piso cerámico del Salon Comunal de Brasil de Santa Ana, Distrito Brasil</t>
  </si>
  <si>
    <t>Compra e instalacion de camaras de seguridad puente de Pozos</t>
  </si>
  <si>
    <t>Construccion paradas bus Comunidad Uruca</t>
  </si>
  <si>
    <t>Arcas Municipales</t>
  </si>
  <si>
    <t>Ley 7755. Partida Especifica 2013, publicada  Gaceta 138, jueves 18 julio 2013.</t>
  </si>
  <si>
    <t>Partidas Presupuestarias 2014, incluidas en la Ley de Presupuesto de la República 2014. Publicada en la Ley 9193 Ley Presupuesto Ordinairo  y Extraordinario de la República para el ejercicio económico 2014. Gaceta N° 235 Alcance Digital 131 del 5 diciembre 2013</t>
  </si>
  <si>
    <t>Partidas Específicas 2015, incluidas en la Ley de Presupuesto de la República 2015. Publicada en la Ley 9289 Ley Presupuesto Ordinairo  y Extraordinario de la República para el ejercicio económico 2015. Gaceta N° 241 Alcance Digital 80 del 15 diciembre 2014</t>
  </si>
  <si>
    <t>04,07,00,01,08,01</t>
  </si>
  <si>
    <t>03,02,01,00,05,02,02</t>
  </si>
  <si>
    <t>Recarteo en calles del Cantón</t>
  </si>
  <si>
    <t>Superávit 2017, Recursos Ley 8114</t>
  </si>
  <si>
    <t>02,09,02,01,05,01</t>
  </si>
  <si>
    <t>Supéravit 2017, Fondo para programas deportivos</t>
  </si>
  <si>
    <t>02,09,02,02,99,04</t>
  </si>
  <si>
    <t>Superáivit 2017, Transferencia COSEVI</t>
  </si>
  <si>
    <t>02,03,01,01,02</t>
  </si>
  <si>
    <t>Alquiler de equipo y mobiliario</t>
  </si>
  <si>
    <t>02,10,11,06,03,99</t>
  </si>
  <si>
    <t>Se rebaja el gasto dado que el monto se presupuesto como superávit específico en el Ordinario 2018, como parte de una transferencia que se iba a recibir de CONAPAM, pero la CGR improbó el presupuesto el año anterior, por lo que no se dio el ingreso.</t>
  </si>
  <si>
    <t>02,02,05,01,02</t>
  </si>
  <si>
    <t>Equipo de transporte</t>
  </si>
  <si>
    <t>Se rebaja el gasto dado que el monto se presupuesto como superávit específico en el Ordinario 2018, para el pago de los camiones recolectores, sin embargo el pago se pudo realizar el año pasado, por lo que se rebaja la diferencia para cerrar con el monto que quedó del Superávit Específico 2017 del Servicio de Recolección de Basura.</t>
  </si>
  <si>
    <t>01,03,05,01,04</t>
  </si>
  <si>
    <t>Equipo y mobiliario de oficina</t>
  </si>
  <si>
    <t>Se refuerza la cuenta dado que hay que hacer el cambio de unos aires acondicionados que ya no funcionan.</t>
  </si>
  <si>
    <t>Alquiler de maquinaria y equipo</t>
  </si>
  <si>
    <t>Refuerza la cuenta para cubrir las necesidades que presenten durante el invierno.</t>
  </si>
  <si>
    <t>02,28,01,04,03</t>
  </si>
  <si>
    <t>02,28,01,01,02</t>
  </si>
  <si>
    <t>Servicios de ingeniería</t>
  </si>
  <si>
    <t>Realizar un estudio Río Corrogres</t>
  </si>
  <si>
    <t>03,06,00,05,02,99</t>
  </si>
  <si>
    <t>Proyectos aprobado por el Concejo Municipal, Sesión Extraordinaria N° 28, 15 junio 2017.</t>
  </si>
  <si>
    <t>03,02,00,05,02,02</t>
  </si>
  <si>
    <t>Aporte Escuela Ezequiel Morales para la compra de juegos de jardín</t>
  </si>
  <si>
    <t>Compra de infraestructura para la Unión Cantonal de Asociaciones de Santa Ana</t>
  </si>
  <si>
    <t>02,31,07,03,01</t>
  </si>
  <si>
    <t>01,01,01,08,08</t>
  </si>
  <si>
    <t>Mantenimiento equipo de cómputo</t>
  </si>
  <si>
    <t>Contratatación del alquiler de los servidores</t>
  </si>
  <si>
    <t>Contrtación de una empresa para el análisis de procesos</t>
  </si>
  <si>
    <t>02,09,02,05,01,07</t>
  </si>
  <si>
    <t>Equipo  y mobiliario educacional, deportivo y recreativo</t>
  </si>
  <si>
    <t>Compra de instrumentos para la Banda Cantonal Municipal de Santa Ana</t>
  </si>
  <si>
    <t>Solicitud presentada por los vecinos de la Urbanización Cuernavaca a la Alcaldía.</t>
  </si>
  <si>
    <t>03,01,00,05,02,01</t>
  </si>
  <si>
    <t>03,01,00,07,01,03</t>
  </si>
  <si>
    <t>Mejoras en instalaciones Escuela Andrés Bello López</t>
  </si>
  <si>
    <t>1,4,0,0,00,00,0,0,000</t>
  </si>
  <si>
    <t>1,4,1,0,00,00,0,0,000</t>
  </si>
  <si>
    <t>TRANSFERENCIAS CORRIENTES DEL SECTOR PUBLICO</t>
  </si>
  <si>
    <t>1,4,1,1,00,00,0,0,000</t>
  </si>
  <si>
    <t>Solicitado por la Ing. Marcela Mata para el alquiler de maquinaria para el Servicio de Mantenimiento de Caminos y Calles</t>
  </si>
  <si>
    <t>Superavit 2017. Impuesto al Cemento. Solicitado por la Ing. Marcela Mata para el alquiler de maquinaria para el Servicio de Mantenimiento de Caminos y Calles</t>
  </si>
  <si>
    <t>Sumas específicas sin asignación presupuestaria</t>
  </si>
  <si>
    <t>Seguridad y vigilancia</t>
  </si>
  <si>
    <t>Aportes en especie para servicios y proyectos comunitarios</t>
  </si>
  <si>
    <t>Educacional Deportivo y recreativo</t>
  </si>
  <si>
    <t>Mejoras aulas del EMAI</t>
  </si>
  <si>
    <t>Superávit 2017, Matricula EMAI</t>
  </si>
  <si>
    <t>Programas deportivos 50% Espectáculos públicos</t>
  </si>
  <si>
    <t>Fondo obras financiadas Impuesto Cemento</t>
  </si>
  <si>
    <t>Aporte Consejo Nacional de Deporsonas con Discapacidad (CONAPDIS), Ley 9303</t>
  </si>
  <si>
    <t>Superávit  Consejo Nacional de Deporsonas con Discapacidad (CONAPDIS)</t>
  </si>
  <si>
    <t>Recarpeteo Calles del Cantón</t>
  </si>
  <si>
    <t>Construcción y Equipamiento del Cecudi Salitral</t>
  </si>
  <si>
    <t>Fondo Recolección de Basura</t>
  </si>
  <si>
    <t>Servicio de Recolección de Basura</t>
  </si>
  <si>
    <t>Tranferencia CONAPAM para administración Hogar de Ancianos Ensueños de Oro</t>
  </si>
  <si>
    <t xml:space="preserve">II </t>
  </si>
  <si>
    <t>02,31,05,01,04</t>
  </si>
  <si>
    <t>Servicios de Mantenimiento de Caminos y Calles</t>
  </si>
  <si>
    <t>28</t>
  </si>
  <si>
    <t>Atención de emergencias cantonales</t>
  </si>
  <si>
    <t>02,01,00,03,01</t>
  </si>
  <si>
    <t>Retribución por años servidos</t>
  </si>
  <si>
    <t>Superávit 2017. Fondo de Aseo de Vías</t>
  </si>
  <si>
    <t>Maquinaria y equipo de producción</t>
  </si>
  <si>
    <t>Superávit Específico 2017. Fondo de Parques. Compra de 2 motoguarañas</t>
  </si>
  <si>
    <t>02,05,00,05,01,01</t>
  </si>
  <si>
    <t>**,**,01,08,08</t>
  </si>
  <si>
    <t>Mantenimiento y reparación equipo de cómputo</t>
  </si>
  <si>
    <t>**,**,00,03,01</t>
  </si>
  <si>
    <t>**,**,01,04,03</t>
  </si>
  <si>
    <t>02,31,07,01,03</t>
  </si>
  <si>
    <t>Contrato DECSA</t>
  </si>
  <si>
    <t>Entubado Valle Soleado</t>
  </si>
  <si>
    <t>Solicitado por la Ing. Andrea Avalos</t>
  </si>
  <si>
    <t>03,06,01,03,05,01,99</t>
  </si>
  <si>
    <t>Maquinaria y equipo diverso</t>
  </si>
  <si>
    <t>Compra de una estación topografía. Solicitado por el Encargado de Geomática</t>
  </si>
  <si>
    <t>Dirección Técnica y Estudios</t>
  </si>
  <si>
    <t>01,01,01,03,01</t>
  </si>
  <si>
    <t>Información</t>
  </si>
  <si>
    <t>02,22,02,01,04</t>
  </si>
  <si>
    <t>02,28,05,99,03</t>
  </si>
  <si>
    <t>Bienes intángiles</t>
  </si>
  <si>
    <t>Calle Urbanización Río Oro del túnel hacia el este</t>
  </si>
  <si>
    <t>03,06,00,01,04,03</t>
  </si>
  <si>
    <t>Diseñor y topografia, especificaciones técnicas y presupuesto  para aceras Casco Urbano</t>
  </si>
  <si>
    <t>03,02,00,01,04,03</t>
  </si>
  <si>
    <t>Colocación maquinas para ejercicio y renovación de parque Urbanización Cuernavaca</t>
  </si>
  <si>
    <t>Calle raicero</t>
  </si>
  <si>
    <t>Calle Raicero</t>
  </si>
  <si>
    <t>Solución Pluvial y Entubado en el Distrito de Pozos</t>
  </si>
  <si>
    <t>Calle la Caballeriza hacia Ruta 147</t>
  </si>
  <si>
    <t>Solicitud presentada por el Director del Colegio de Santa Ana a la Alcaldía</t>
  </si>
  <si>
    <t>02,10,09,06,03,01</t>
  </si>
  <si>
    <t>Transferencia Unión Cantonal de Asoaciaciones</t>
  </si>
  <si>
    <t>Construcción de aceras en el Cantón</t>
  </si>
  <si>
    <t>Especificaciones técnicas, planos y presupuesto  Parque de renovación Urbana del Distrito de Piedades</t>
  </si>
  <si>
    <t>Servicios Sociales y complementarios</t>
  </si>
  <si>
    <t>Solicitado por Ingeniería a la Alcaldía</t>
  </si>
  <si>
    <t>Compra de un software para mejorar la plataforma de geomática para la introducción de la gestión de riesgo para realizar ortofotos. Solicitado por la Ing. Emilia Jiménez</t>
  </si>
  <si>
    <t>Se presupuesta para publicaciones en la Gaceta y para proyecto de información a la ciudadania de los proyectos realizados para la Rendición de Cuentas del Alcalde</t>
  </si>
  <si>
    <t>Transferencias corrientes a Fundaciones</t>
  </si>
  <si>
    <t>02,23,02,99,06</t>
  </si>
  <si>
    <t>Materiales y suministros de resguardo y seguridad</t>
  </si>
  <si>
    <t>Compra de chalecos antibalas</t>
  </si>
  <si>
    <t>02,23,01,03,03</t>
  </si>
  <si>
    <t>Impresión encuadernación y otros</t>
  </si>
  <si>
    <t>Confección de formularios para partes</t>
  </si>
  <si>
    <t>02,23,05,01,99</t>
  </si>
  <si>
    <t>Compra de equipo Hand Held para partes electrónicos</t>
  </si>
  <si>
    <t>02,23,02,03,01</t>
  </si>
  <si>
    <t>Materiales y productos metálicos</t>
  </si>
  <si>
    <t>Compra de vallas metálicas</t>
  </si>
  <si>
    <t>02,23,02,03,06</t>
  </si>
  <si>
    <t>Compra de vallas plásticas y estañones  fosforescentes</t>
  </si>
  <si>
    <t>02,23,00,01,01</t>
  </si>
  <si>
    <t>Sueldos fijos</t>
  </si>
  <si>
    <t>Solicitado por el Ing. Eduardo Fallas</t>
  </si>
  <si>
    <t>Obras adicionales Kiosco del INVU</t>
  </si>
  <si>
    <t>02,31,02,03,01</t>
  </si>
  <si>
    <t>Gruta de la Medalla Milagrosa, INTEX</t>
  </si>
  <si>
    <t>02,31,02,03,02</t>
  </si>
  <si>
    <t>Materiales y productos minerales y asfálticos</t>
  </si>
  <si>
    <t>02,31,02,03,03</t>
  </si>
  <si>
    <t>02,31,02,03,04</t>
  </si>
  <si>
    <t>02,31,02,03,06</t>
  </si>
  <si>
    <t>02,31,02,03,99</t>
  </si>
  <si>
    <t>Otros materiales de uso en la construcción</t>
  </si>
  <si>
    <t>02,31,02,01,04</t>
  </si>
  <si>
    <t>Tintas pinturas y diluyentes</t>
  </si>
  <si>
    <t>02,31,02,04,01</t>
  </si>
  <si>
    <t>Herramientas e instrumentos</t>
  </si>
  <si>
    <t>02,31,01,08,01</t>
  </si>
  <si>
    <t>02,31,02,99,04</t>
  </si>
  <si>
    <t>Transporte de bienes</t>
  </si>
  <si>
    <t>**,**,02,03,04</t>
  </si>
  <si>
    <t>Materiales y productos eléctricos</t>
  </si>
  <si>
    <t>**,**,02,03,99</t>
  </si>
  <si>
    <t>**,**,02,04,01</t>
  </si>
  <si>
    <t>Herramienttas e instrumentos</t>
  </si>
  <si>
    <t>**,**,01,03,01</t>
  </si>
  <si>
    <t>02,10,09,06,04,02</t>
  </si>
  <si>
    <t>**,**,06,04,02</t>
  </si>
  <si>
    <t>Transf.Corrientes a Fundaciones</t>
  </si>
  <si>
    <t>**,**,01,03,03</t>
  </si>
  <si>
    <t>**,**,02,99,06</t>
  </si>
  <si>
    <t>Materiales resguardo y seguridad</t>
  </si>
  <si>
    <t>**,**,05,99,03</t>
  </si>
  <si>
    <t>Bienes Intangibles</t>
  </si>
  <si>
    <t>Aporte de CONAPAM para la administración Centro Diurno</t>
  </si>
  <si>
    <t>Materiales y productos eléctricos y de cómputo</t>
  </si>
  <si>
    <t>Mejoras y Construcción de Infraestructura Deportivas del Canton</t>
  </si>
  <si>
    <t>Compra e instalación de camaras de seguridad puente de Pozos</t>
  </si>
  <si>
    <t>Remodel e Instalac del piso cerámico del Salón Comunal de Brasil de Santa Ana, Distrito Brasil</t>
  </si>
  <si>
    <t>Mejoras Salón Comunal de Piedades</t>
  </si>
  <si>
    <t>03,01,00,07,03,01</t>
  </si>
  <si>
    <t>Parque Santa Ana</t>
  </si>
  <si>
    <t>Compra de terreno para obras sociales</t>
  </si>
  <si>
    <t>02,09,02,01,04,99</t>
  </si>
  <si>
    <t>Transferencia Comité de Deportes</t>
  </si>
  <si>
    <t>Aporte Municipal para las ayudas del proyecto de la Red de Cuido de Adultos Mayores</t>
  </si>
  <si>
    <t>Ayudas que se brindan a programas deportivos del Cantón</t>
  </si>
  <si>
    <t>02,09,02,07,01,04</t>
  </si>
  <si>
    <t>Se refuerza la partida incluida en el Ordinario para la comrpa de los juegos y fuentes</t>
  </si>
  <si>
    <t>Publicdad y propaganda</t>
  </si>
  <si>
    <t>Mejoras Escuela Andrés Bello López</t>
  </si>
  <si>
    <t>Yo, Rebeca Vásquez Herrera, hago constar que los datos suministrados anteriormente corresponden a las aplicaciones dadas por la Municipalidad a la totalidad de los recursos con origen específico incorporados en el Presupuesto Extraordinario 01-2018.</t>
  </si>
  <si>
    <t>Mantenimiento de caminos y calles</t>
  </si>
  <si>
    <r>
      <t>Solicitud presentada por la Junta de Educación  Escuela Ezequiel Morales a la Alcaldía</t>
    </r>
    <r>
      <rPr>
        <b/>
        <sz val="11"/>
        <rFont val="Euphemia"/>
        <family val="0"/>
      </rPr>
      <t xml:space="preserve"> (TRANSFERENCIA)</t>
    </r>
  </si>
  <si>
    <t>Solicitud presentada por la Unión Cantonal de Asociaciones de Santa Ana. (TRANSFERENCIA)</t>
  </si>
  <si>
    <t>Solicitud presentada por la Escuela y el CINDEA a la Alcaldia. (TRANSFERENCIA)</t>
  </si>
  <si>
    <t>Solicitado por la Asociación de Desarrollo de Piedades a la Alcaldía. (TRANSFERENCIA)</t>
  </si>
  <si>
    <t>Ayuda a equipo de gimanasia para compra de equipo. (TRANSFERENCIA)</t>
  </si>
  <si>
    <t>Para proyecto Club de Adolescentes. (TRANSFERENCIA)</t>
  </si>
  <si>
    <t>Aporte adicional para FUSAVO según acuerdo del Concejo aprobado en la Sesión Ordinaria N° 102, celebrada el 10 de abril 2018. (TRANSFERENCIA)</t>
  </si>
  <si>
    <t>02,09,03,01,07,01</t>
  </si>
  <si>
    <t>Actividades de Capacitación</t>
  </si>
  <si>
    <t>Superávit Escífico 2017, Comité Cantonal de la Persona Joven</t>
  </si>
  <si>
    <t>**,**,01,07,01</t>
  </si>
  <si>
    <t>Decimotercer mes</t>
  </si>
  <si>
    <t>Contrib. pat. al seguro de salud de la c.c.s.s.</t>
  </si>
  <si>
    <t>Contrib. patronal banco pop</t>
  </si>
  <si>
    <t>Contrib. patronal seguro pensiones</t>
  </si>
  <si>
    <t>Aporte pat. rég. obligatorio pensiones complem.</t>
  </si>
  <si>
    <t>Contrib. pat. a otros fondos adm por otros e.p.</t>
  </si>
  <si>
    <t>02,23,00,03,03</t>
  </si>
  <si>
    <t>02,23,00,03,99</t>
  </si>
  <si>
    <t>02,23,00,04,01</t>
  </si>
  <si>
    <t>02,23,00,04,05</t>
  </si>
  <si>
    <t>02,23,00,05,01</t>
  </si>
  <si>
    <t>02,23,00,05,02</t>
  </si>
  <si>
    <t>02,23,00,05,03</t>
  </si>
  <si>
    <t>Pago días feriados</t>
  </si>
  <si>
    <t>Se recupera del Superávit Específico 2017</t>
  </si>
  <si>
    <t>Se presupuesta la suma de ¢560.170.650,29,  correspondiente al superávit libre 2017, según ajuste a la Liquidación Presupuestaria 2017 aprobada por el Concejo Municipal en la Sesión Ordinaria N° 100-2018, celebrada el 27 de marzo del año en curso.</t>
  </si>
  <si>
    <t>TOTAL SUPERAVIT ESPECIFICO 2017</t>
  </si>
  <si>
    <r>
      <t>Se presupuesta un aporte para el año 2018 de CONAPAM</t>
    </r>
    <r>
      <rPr>
        <sz val="11"/>
        <rFont val="Arial"/>
        <family val="2"/>
      </rPr>
      <t xml:space="preserve"> para la administración del Centro Diurno por la suma de ¢</t>
    </r>
    <r>
      <rPr>
        <sz val="11"/>
        <rFont val="Euphemia"/>
        <family val="2"/>
      </rPr>
      <t xml:space="preserve">34.678.000,00. Además se incluye una transferencia de las Multas de Tránsito por la suma de </t>
    </r>
    <r>
      <rPr>
        <sz val="11"/>
        <rFont val="Arial"/>
        <family val="2"/>
      </rPr>
      <t>¢13.950.079.68, correspondiente al monto pendiente de transferir del año 2017 de la Ley 9078.</t>
    </r>
  </si>
  <si>
    <t>Se presupuesta la suma de ¢444.359.401,41, correspondiente al Superávit Específico 2017, según ajuste a la Liquidación Presupuestaria 2017 aprobada por el Concejo Municipal en la Sesión Ordinaria N°100-2018, celebrada el 257 de marzo del año en curso. Cabe mencionar que los montos que se rebajan en el superávit específico, son montos que se incluyeron en el Superávit Específico 2017 en el Presupuesto Ordinario 2018, y los proyectos al final quedaron adjudicados antes del 31 de diciembre y están como parte de los compromisos 2017, además se rebaja la suma de 25 millones correspondiente a un monto que se incluyó también en el Ordinario 2018 de una transferencia que se iba a recibir de CONAPAM en al año anterior, sin embargo el Presupuesto Extraordinario en el que se incluyó ese aporte fue improbado por la Contraloría General de la República, el  superávit que se está presupuestando, se detalla a continuación:</t>
  </si>
  <si>
    <t>Aporte Consejo Nacional de de personas con Discapacidad (CONAPDIS), Ley 9303</t>
  </si>
  <si>
    <t>Transferencia CONAPAM para administración Hogar de Ancianos Ensueños de Oro</t>
  </si>
  <si>
    <t>**,**,00,03,03</t>
  </si>
  <si>
    <t>Décimotercer mes</t>
  </si>
  <si>
    <t>**,**,00,04,01</t>
  </si>
  <si>
    <t>Contrib. Pat. al Seg. de Salud de la C.C.S.S.</t>
  </si>
  <si>
    <t>**,**,00,04,05</t>
  </si>
  <si>
    <t>Contribución Patronal Banco Pop</t>
  </si>
  <si>
    <t>**,**,00,05,01</t>
  </si>
  <si>
    <t>Contribución Pat. Seg Pensiones</t>
  </si>
  <si>
    <t>**,**,00,05,02</t>
  </si>
  <si>
    <t>Aporte Pat. Régimen Oblig Pensiones Complem.</t>
  </si>
  <si>
    <t>**,**,00,05,03</t>
  </si>
  <si>
    <t>Aporte Patronal Fondo Capitalización Lab.</t>
  </si>
  <si>
    <r>
      <t xml:space="preserve">Se presupuesta la suma de </t>
    </r>
    <r>
      <rPr>
        <sz val="11"/>
        <rFont val="Calibri"/>
        <family val="2"/>
      </rPr>
      <t>₵72</t>
    </r>
    <r>
      <rPr>
        <sz val="11"/>
        <rFont val="Arial"/>
        <family val="2"/>
      </rPr>
      <t>.000.000,00, desglosado en las cuentas de Servicios en Ciencias Económicas y Sociales para una Auditoria Externa, según acuerdo del Concejo Municipal, la cual se hizo el concurso el año anterior, pero no se pudo adjudicar por lo que se vuelve a presupuestar para el 2018, Información, Mantenimiento y reparación en equipo de cómputo y sistemas de información.</t>
    </r>
  </si>
  <si>
    <t>Bienes duraderos</t>
  </si>
  <si>
    <t>Se presupuesta la suma de 3 millones en la cuenta de Equipo y Mobiliario de Oficina para la compra de aires acondicionados y varias sillas que se deben comprar dado que no tienen arreglo.</t>
  </si>
  <si>
    <t>Se incluye la suma de ¢12.813.787,37, de los saldos de las transferencias que quedaron pendientes de girar en el año 2017, según consta en el I Ajuste de la Liquidación Presupuestaria 2017, aprobado por el Concejo Municipal, en la Sesión Ordinaria N° 100-2018, celebrada el 27 de marzo del año en curso. El detalle de las transferencias se detalla a contunuación:</t>
  </si>
  <si>
    <r>
      <t xml:space="preserve">Se presupuesta la suma de </t>
    </r>
    <r>
      <rPr>
        <sz val="11"/>
        <rFont val="Calibri"/>
        <family val="2"/>
      </rPr>
      <t xml:space="preserve">₵3.872.654,03 en las cuentas de Retribucón por años servidos del Servicio de Aseo de Vías, para el pago de anualidades del persona que fue contratado para suplencias, no se incluyé en este caso las cuotas patronales dado que quedó en saldo en la cuenta de Salario Escolar y lo presupuestado cubre el monto que se está inlcuyendo y en la cuenta de Sueldos Fijos de Seguridad y Vigilancia para cubrir los días feriados que laboran los inspectores de tránsito. </t>
    </r>
  </si>
  <si>
    <r>
      <t xml:space="preserve">Se presupuesta la suma de </t>
    </r>
    <r>
      <rPr>
        <sz val="11"/>
        <rFont val="Calibri"/>
        <family val="2"/>
      </rPr>
      <t>₵90.977.806,72</t>
    </r>
    <r>
      <rPr>
        <sz val="11"/>
        <rFont val="Arial"/>
        <family val="2"/>
      </rPr>
      <t>desglosado en las cuentas de Alquiler de maquinaria, equipo y mobiliario para Servicio de Mantenimiento de Caminos y Calles, Impresión Encuadernación y otros de la Seguridad y Vigilancia, Servicios de Ingniería para estudios del Rio Corrogres del Sevicios Antención de Emergencias Cantonales, Otros Servicios de Gestión y Apoyo corresponde a los recursos que se recibirán de CONAPAM, se presupuestan en Servicios Sociales y Complementarios y otro montos para los programas deportivos en el Servicio Educacional Deportivo y Recreativo, Actividades de Capacitación corresponde al superávit del Comitá Cantonal de la Persona Joven y Mantenimiento de Edificios y Locales del Servicios Aportes en especie para servicios y proyectos comunitarios.</t>
    </r>
  </si>
  <si>
    <t>Se presupuesta la suma de -188.185.038,31 se rebaja la suma de 215.720.161,08, parte del superávit espécifico que se incluyó en el Ordinario 2018 en el Servicio de Recolección de Basura para la compra de unos camiones recolectores ya que el proceso estaba en apelación y al fimnal se resolvío y se adjudicó el año anterior, en la cuenta de Equipo y mobiliario de oficina en el Servicio Aportes en especie para servicios y proyectos comunitarios y en Equipo de producción en el Servicio de Parques Obras y Ornato.</t>
  </si>
  <si>
    <r>
      <t xml:space="preserve">Se presupuesta la suma de </t>
    </r>
    <r>
      <rPr>
        <sz val="11"/>
        <rFont val="Calibri"/>
        <family val="2"/>
      </rPr>
      <t>₵20.540.220,81</t>
    </r>
    <r>
      <rPr>
        <sz val="11"/>
        <rFont val="Arial"/>
        <family val="2"/>
      </rPr>
      <t xml:space="preserve"> desglosados en las siguientes cuentas Textiles y Vestuarios en los servicios Educacional Deportivo y Recreativo, Tintas pinturas y diluyentes en el Servicio Seguridad Víal, Materiales y productos metálicos, Materiales y Productos de plástico, Materiales y Productos de Resguardo y seguridad para el Servicio Seguridad y Vigilancia y en las cuentas de Materiales de uso en el manteniento y contrucción del Servicio de Aportes en especie para servicios y proyectos comunitarios.</t>
    </r>
  </si>
  <si>
    <r>
      <t xml:space="preserve">Se presupuesta la suma de </t>
    </r>
    <r>
      <rPr>
        <sz val="11"/>
        <rFont val="Calibri"/>
        <family val="2"/>
      </rPr>
      <t>₵53.251.261,29, desglosado en la siguiente forma:</t>
    </r>
  </si>
  <si>
    <t>Para proyecto Club de Adolescentes. Union Cantonal de Asociaciones</t>
  </si>
  <si>
    <t>Se presupuesta la suma de 171.308.852,55 como transferencias de capital, desglosado de la siguiente forma:</t>
  </si>
  <si>
    <t>Comité Cantonal de Deportesy Recreación de Santa Ana</t>
  </si>
  <si>
    <t>Servicios de Ingeniería</t>
  </si>
  <si>
    <t>03,07,00,05,03,01</t>
  </si>
  <si>
    <t>**,**,05,03,01</t>
  </si>
  <si>
    <t>Terrenos</t>
  </si>
  <si>
    <t>Se presupuesta la suma de 26 millones de colones para hacer las especificaciones y diseños de los siguientes proyectos:</t>
  </si>
  <si>
    <t>Se presupuesta la suma de ¢676.040.680,56, en la cuenta de Maquinaria y Equipo Diverso un saldo del proyecto Construcción y Equipamiento CECUDI Salitral y para la compra de una estación de topografía para la Dirección Técnica y Estudios, el resto se encuentra desglosado en los siguientes proyectos:</t>
  </si>
  <si>
    <t>Se presupuesta la suma de 970.127,38 en la cuenta Mantenimiento de Edificios y Locales del proyecto Equipamiento de la Escuela Municipal de Artes Integradas</t>
  </si>
  <si>
    <r>
      <t xml:space="preserve">Se presupuesta la suma de </t>
    </r>
    <r>
      <rPr>
        <sz val="11"/>
        <rFont val="Calibri"/>
        <family val="2"/>
      </rPr>
      <t>₵55.505,90</t>
    </r>
    <r>
      <rPr>
        <sz val="11"/>
        <rFont val="Arial"/>
        <family val="2"/>
      </rPr>
      <t xml:space="preserve"> de la cuenta de Materiales y productos minerales y asfálticos para la ejecución de dos proyectos por administración.</t>
    </r>
  </si>
  <si>
    <t>Se presupuesta la suma de ¢33.232.020,34 para la ejecución de las siguientes partidas específicas:</t>
  </si>
  <si>
    <t>Construcciones y mejoras deportivas del Cantón</t>
  </si>
  <si>
    <t>Mejoras y Construccion de Infraestructura Deportivas del Cantón</t>
  </si>
  <si>
    <t>Aporte para FUSAVO según acuerdo del Concejo aprobado en la Sesión Ordinaria N° 102 del 10 de abril 2018.</t>
  </si>
  <si>
    <t>Superávirt 2017,  Red de Cuido Adultos Mayores, CONAPAM</t>
  </si>
  <si>
    <t>Rebajo del monto se presupuesto como superávit específico en el Ordinario 2018, de la transferencia que se iba a recibir de CONAPAM, pero el presupuesto fue improbado por la CGR el año anterior.</t>
  </si>
  <si>
    <t>Compra de equipo para el equipo de Gimnasia</t>
  </si>
  <si>
    <t>Unión Cantonal de Asociaciones de Santa Ana</t>
  </si>
  <si>
    <t>Acuerdo del Concejo Municipal, Sesión Ordinario N° 98, celebrada el 13 de marzo, 2018</t>
  </si>
  <si>
    <t>Programa Club de Adolescentes</t>
  </si>
  <si>
    <t>FUSAVO</t>
  </si>
  <si>
    <t>Ayudas a personas con problemas de drogadicción</t>
  </si>
  <si>
    <t>Escuela Ezequiel Morales</t>
  </si>
  <si>
    <t>Compra de juegos de jardín</t>
  </si>
  <si>
    <t>Comitá Cantonal de Deportes y Recreación de Santa Ana</t>
  </si>
  <si>
    <t>Compra de equipo para el Equipo de Gimansia</t>
  </si>
  <si>
    <t>Escuela Andrés Bello López</t>
  </si>
  <si>
    <t>Mejoras de la Escuela</t>
  </si>
  <si>
    <t>Fecha:  Abril, 2018</t>
  </si>
  <si>
    <t>Mejoras de Gruta en Urbanización INTEX</t>
  </si>
  <si>
    <t>Fecha: Abril 2018</t>
  </si>
  <si>
    <t>02.31.05.01.04</t>
  </si>
  <si>
    <t>02.31.02.03</t>
  </si>
  <si>
    <t>11</t>
  </si>
  <si>
    <t>12</t>
  </si>
  <si>
    <t>13</t>
  </si>
  <si>
    <t>18</t>
  </si>
  <si>
    <t>25</t>
  </si>
  <si>
    <t>Partidas Presupuestarias 2016, incluidas en la Ley de Presupuesto de la República 2016. Publicada en la Ley 9341 Ley Presupuesto Ordinairo  y Extraordinario de la República para el ejercicio económico 2016. Se le rebaja la suma de 1.999.014,49 según improbación por parte de la CGR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</si>
</sst>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_(&quot;₡&quot;* \(#,##0.00\);_(&quot;₡&quot;* &quot;-&quot;??_);_(@_)"/>
    <numFmt numFmtId="173" formatCode="_-* #,##0.00\ _€_-;\-* #,##0.00\ _€_-;_-* &quot;-&quot;??\ _€_-;_-@_-"/>
    <numFmt numFmtId="174" formatCode="_-* #,##0\ &quot;Pts&quot;_-;\-* #,##0\ &quot;Pts&quot;_-;_-* &quot;-&quot;\ &quot;Pts&quot;_-;_-@_-"/>
    <numFmt numFmtId="175" formatCode="_-* #,##0\ _P_t_s_-;\-* #,##0\ _P_t_s_-;_-* &quot;-&quot;\ _P_t_s_-;_-@_-"/>
    <numFmt numFmtId="176" formatCode="_-* #,##0.00\ &quot;Pts&quot;_-;\-* #,##0.00\ &quot;Pts&quot;_-;_-* &quot;-&quot;??\ &quot;Pts&quot;_-;_-@_-"/>
    <numFmt numFmtId="177" formatCode="_-* #,##0.00\ _P_t_s_-;\-* #,##0.00\ _P_t_s_-;_-* &quot;-&quot;??\ _P_t_s_-;_-@_-"/>
    <numFmt numFmtId="178" formatCode="0.0%"/>
    <numFmt numFmtId="179" formatCode="_-* #,##0.00\ [$€]_-;\-* #,##0.00\ [$€]_-;_-* &quot;-&quot;??\ [$€]_-;_-@_-"/>
    <numFmt numFmtId="180" formatCode="#,##0.0000000"/>
    <numFmt numFmtId="181" formatCode="#,##0.00000000"/>
  </numFmts>
  <fonts count="92">
    <font>
      <sz val="10"/>
      <name val="Arial"/>
      <family val="0"/>
    </font>
    <font>
      <b/>
      <sz val="10"/>
      <name val="Arial"/>
      <family val="2"/>
    </font>
    <font>
      <u val="single"/>
      <sz val="10"/>
      <color indexed="12"/>
      <name val="Arial"/>
      <family val="2"/>
    </font>
    <font>
      <b/>
      <sz val="12"/>
      <name val="Arial"/>
      <family val="2"/>
    </font>
    <font>
      <b/>
      <sz val="11"/>
      <name val="Arial"/>
      <family val="2"/>
    </font>
    <font>
      <sz val="11"/>
      <name val="Arial"/>
      <family val="2"/>
    </font>
    <font>
      <sz val="12"/>
      <name val="Arial"/>
      <family val="2"/>
    </font>
    <font>
      <u val="single"/>
      <sz val="10"/>
      <color indexed="36"/>
      <name val="Arial"/>
      <family val="2"/>
    </font>
    <font>
      <sz val="10"/>
      <color indexed="8"/>
      <name val="Arial"/>
      <family val="2"/>
    </font>
    <font>
      <sz val="8"/>
      <name val="Arial"/>
      <family val="2"/>
    </font>
    <font>
      <b/>
      <sz val="11"/>
      <color indexed="9"/>
      <name val="Arial"/>
      <family val="2"/>
    </font>
    <font>
      <sz val="8"/>
      <name val="Tahoma"/>
      <family val="2"/>
    </font>
    <font>
      <sz val="12"/>
      <name val="Times New Roman"/>
      <family val="1"/>
    </font>
    <font>
      <sz val="10"/>
      <name val="Times New Roman"/>
      <family val="1"/>
    </font>
    <font>
      <b/>
      <sz val="12"/>
      <name val="Times New Roman"/>
      <family val="1"/>
    </font>
    <font>
      <sz val="11"/>
      <name val="Calibri"/>
      <family val="2"/>
    </font>
    <font>
      <b/>
      <sz val="12"/>
      <name val="Euphemia"/>
      <family val="2"/>
    </font>
    <font>
      <sz val="10"/>
      <name val="Euphemia"/>
      <family val="2"/>
    </font>
    <font>
      <b/>
      <sz val="10"/>
      <name val="Euphemia"/>
      <family val="2"/>
    </font>
    <font>
      <b/>
      <sz val="11"/>
      <name val="Euphemia"/>
      <family val="2"/>
    </font>
    <font>
      <sz val="11"/>
      <name val="Euphemia"/>
      <family val="2"/>
    </font>
    <font>
      <b/>
      <sz val="11"/>
      <color indexed="9"/>
      <name val="Euphemia"/>
      <family val="2"/>
    </font>
    <font>
      <b/>
      <u val="single"/>
      <sz val="10"/>
      <name val="Euphemia"/>
      <family val="2"/>
    </font>
    <font>
      <sz val="12"/>
      <name val="Euphemia"/>
      <family val="2"/>
    </font>
    <font>
      <b/>
      <sz val="9"/>
      <name val="Euphemia"/>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3"/>
      <name val="Euphemia"/>
      <family val="2"/>
    </font>
    <font>
      <b/>
      <sz val="12"/>
      <color indexed="13"/>
      <name val="Euphemia"/>
      <family val="2"/>
    </font>
    <font>
      <sz val="10"/>
      <color indexed="13"/>
      <name val="Euphemia"/>
      <family val="2"/>
    </font>
    <font>
      <b/>
      <sz val="10"/>
      <color indexed="13"/>
      <name val="Euphemia"/>
      <family val="2"/>
    </font>
    <font>
      <b/>
      <sz val="10"/>
      <color indexed="9"/>
      <name val="Arial"/>
      <family val="2"/>
    </font>
    <font>
      <b/>
      <sz val="10"/>
      <color indexed="8"/>
      <name val="Euphemia"/>
      <family val="2"/>
    </font>
    <font>
      <b/>
      <sz val="10"/>
      <color indexed="8"/>
      <name val="Arial"/>
      <family val="2"/>
    </font>
    <font>
      <sz val="11"/>
      <color indexed="13"/>
      <name val="Arial"/>
      <family val="2"/>
    </font>
    <font>
      <b/>
      <sz val="11"/>
      <color indexed="13"/>
      <name val="Arial"/>
      <family val="2"/>
    </font>
    <font>
      <sz val="10"/>
      <color indexed="8"/>
      <name val="Euphemia"/>
      <family val="2"/>
    </font>
    <font>
      <sz val="11"/>
      <color indexed="8"/>
      <name val="Arial"/>
      <family val="2"/>
    </font>
    <font>
      <sz val="12"/>
      <color indexed="13"/>
      <name val="Euphemia"/>
      <family val="2"/>
    </font>
    <font>
      <b/>
      <sz val="10"/>
      <color indexed="13"/>
      <name val="Arial"/>
      <family val="2"/>
    </font>
    <font>
      <sz val="10"/>
      <color indexed="13"/>
      <name val="Arial"/>
      <family val="2"/>
    </font>
    <font>
      <b/>
      <sz val="12"/>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00"/>
      <name val="Euphemia"/>
      <family val="2"/>
    </font>
    <font>
      <b/>
      <sz val="12"/>
      <color rgb="FFFFFF00"/>
      <name val="Euphemia"/>
      <family val="2"/>
    </font>
    <font>
      <sz val="10"/>
      <color rgb="FFFFFF00"/>
      <name val="Euphemia"/>
      <family val="2"/>
    </font>
    <font>
      <b/>
      <sz val="10"/>
      <color rgb="FFFFFF00"/>
      <name val="Euphemia"/>
      <family val="2"/>
    </font>
    <font>
      <b/>
      <sz val="10"/>
      <color theme="0"/>
      <name val="Arial"/>
      <family val="2"/>
    </font>
    <font>
      <b/>
      <sz val="10"/>
      <color theme="1"/>
      <name val="Euphemia"/>
      <family val="2"/>
    </font>
    <font>
      <b/>
      <sz val="10"/>
      <color theme="1"/>
      <name val="Arial"/>
      <family val="2"/>
    </font>
    <font>
      <sz val="11"/>
      <color rgb="FFFFFF00"/>
      <name val="Arial"/>
      <family val="2"/>
    </font>
    <font>
      <b/>
      <sz val="11"/>
      <color rgb="FFFFFF00"/>
      <name val="Arial"/>
      <family val="2"/>
    </font>
    <font>
      <sz val="10"/>
      <color theme="1"/>
      <name val="Euphemia"/>
      <family val="2"/>
    </font>
    <font>
      <sz val="11"/>
      <color theme="1"/>
      <name val="Arial"/>
      <family val="2"/>
    </font>
    <font>
      <sz val="12"/>
      <color rgb="FFFFFF00"/>
      <name val="Euphemia"/>
      <family val="2"/>
    </font>
    <font>
      <b/>
      <sz val="10"/>
      <color rgb="FFFFFF00"/>
      <name val="Arial"/>
      <family val="2"/>
    </font>
    <font>
      <sz val="10"/>
      <color rgb="FFFFFF00"/>
      <name val="Arial"/>
      <family val="2"/>
    </font>
    <font>
      <b/>
      <sz val="12"/>
      <color rgb="FFFFFF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3399"/>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006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179" fontId="0"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6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8" fillId="31" borderId="0" applyNumberFormat="0" applyBorder="0" applyAlignment="0" applyProtection="0"/>
    <xf numFmtId="0" fontId="59" fillId="0" borderId="0">
      <alignment/>
      <protection/>
    </xf>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499">
    <xf numFmtId="0" fontId="0" fillId="0" borderId="0" xfId="0" applyAlignment="1">
      <alignment/>
    </xf>
    <xf numFmtId="171" fontId="0" fillId="0" borderId="0" xfId="0" applyNumberFormat="1" applyAlignment="1">
      <alignment/>
    </xf>
    <xf numFmtId="0" fontId="1" fillId="0" borderId="0" xfId="0" applyFont="1" applyAlignment="1">
      <alignment horizontal="left"/>
    </xf>
    <xf numFmtId="0" fontId="1" fillId="0" borderId="0" xfId="0" applyFont="1" applyFill="1" applyBorder="1" applyAlignment="1">
      <alignment/>
    </xf>
    <xf numFmtId="0" fontId="1" fillId="0" borderId="0" xfId="0" applyFont="1" applyFill="1" applyBorder="1" applyAlignment="1">
      <alignment horizontal="center" wrapText="1"/>
    </xf>
    <xf numFmtId="0" fontId="0" fillId="0" borderId="0" xfId="0" applyFill="1"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171" fontId="0" fillId="0" borderId="13" xfId="0" applyNumberFormat="1" applyBorder="1" applyAlignment="1">
      <alignment/>
    </xf>
    <xf numFmtId="0" fontId="0" fillId="0" borderId="14" xfId="0" applyBorder="1" applyAlignment="1">
      <alignment/>
    </xf>
    <xf numFmtId="171" fontId="0" fillId="0" borderId="0" xfId="0" applyNumberFormat="1" applyBorder="1" applyAlignment="1">
      <alignment/>
    </xf>
    <xf numFmtId="10" fontId="0" fillId="0" borderId="0" xfId="56" applyNumberFormat="1" applyFont="1" applyAlignment="1">
      <alignment/>
    </xf>
    <xf numFmtId="10" fontId="0" fillId="0" borderId="12" xfId="56" applyNumberFormat="1" applyFont="1" applyBorder="1" applyAlignment="1">
      <alignment/>
    </xf>
    <xf numFmtId="171" fontId="1" fillId="0" borderId="13" xfId="0" applyNumberFormat="1" applyFont="1" applyBorder="1" applyAlignment="1">
      <alignment/>
    </xf>
    <xf numFmtId="0" fontId="4" fillId="0" borderId="0" xfId="0" applyFont="1" applyAlignment="1">
      <alignment horizontal="center"/>
    </xf>
    <xf numFmtId="0" fontId="5" fillId="0" borderId="0" xfId="0" applyFont="1" applyAlignment="1">
      <alignment/>
    </xf>
    <xf numFmtId="0" fontId="5" fillId="0" borderId="0" xfId="0" applyFont="1" applyFill="1" applyAlignment="1">
      <alignment horizontal="justify" vertical="center" wrapText="1"/>
    </xf>
    <xf numFmtId="0" fontId="4" fillId="33" borderId="0" xfId="0" applyFont="1" applyFill="1" applyAlignment="1">
      <alignment vertical="center" wrapText="1"/>
    </xf>
    <xf numFmtId="177" fontId="4" fillId="33" borderId="0" xfId="49" applyFont="1" applyFill="1" applyAlignment="1">
      <alignment horizontal="right" vertical="center" wrapText="1"/>
    </xf>
    <xf numFmtId="0" fontId="4" fillId="33" borderId="0" xfId="0" applyFont="1" applyFill="1" applyAlignment="1">
      <alignment/>
    </xf>
    <xf numFmtId="0" fontId="5" fillId="33" borderId="0" xfId="0" applyFont="1" applyFill="1" applyAlignment="1">
      <alignment/>
    </xf>
    <xf numFmtId="177" fontId="4" fillId="33" borderId="0" xfId="49" applyFont="1" applyFill="1" applyAlignment="1">
      <alignment/>
    </xf>
    <xf numFmtId="177" fontId="4" fillId="33" borderId="0" xfId="49" applyFont="1" applyFill="1" applyAlignment="1">
      <alignment/>
    </xf>
    <xf numFmtId="0" fontId="4" fillId="0" borderId="0" xfId="0" applyFont="1" applyFill="1" applyAlignment="1">
      <alignment/>
    </xf>
    <xf numFmtId="172" fontId="4" fillId="0" borderId="0" xfId="0" applyNumberFormat="1" applyFont="1" applyFill="1" applyAlignment="1">
      <alignment horizontal="left" indent="15"/>
    </xf>
    <xf numFmtId="0" fontId="5" fillId="0" borderId="0" xfId="0" applyFont="1" applyFill="1" applyAlignment="1">
      <alignment/>
    </xf>
    <xf numFmtId="0" fontId="4" fillId="0" borderId="0" xfId="0" applyFont="1" applyFill="1" applyAlignment="1">
      <alignment horizontal="center" vertical="top" wrapText="1"/>
    </xf>
    <xf numFmtId="0" fontId="4" fillId="0" borderId="0" xfId="0" applyFont="1" applyAlignment="1">
      <alignment/>
    </xf>
    <xf numFmtId="49" fontId="5" fillId="0" borderId="0" xfId="0" applyNumberFormat="1" applyFont="1" applyFill="1" applyAlignment="1">
      <alignment vertical="center"/>
    </xf>
    <xf numFmtId="0" fontId="5" fillId="0" borderId="0" xfId="0" applyFont="1" applyAlignment="1">
      <alignment vertical="center"/>
    </xf>
    <xf numFmtId="171" fontId="5" fillId="0" borderId="0" xfId="0" applyNumberFormat="1" applyFont="1" applyAlignment="1">
      <alignment/>
    </xf>
    <xf numFmtId="4" fontId="5" fillId="0" borderId="0" xfId="0" applyNumberFormat="1" applyFont="1" applyAlignment="1">
      <alignment/>
    </xf>
    <xf numFmtId="0" fontId="0" fillId="0" borderId="0" xfId="0" applyAlignment="1">
      <alignment vertical="justify"/>
    </xf>
    <xf numFmtId="0" fontId="0" fillId="0" borderId="0" xfId="0" applyFill="1" applyAlignment="1">
      <alignment vertical="justify"/>
    </xf>
    <xf numFmtId="176" fontId="8" fillId="0" borderId="0" xfId="51" applyFont="1" applyAlignment="1">
      <alignment vertical="justify"/>
    </xf>
    <xf numFmtId="0" fontId="6" fillId="0" borderId="0" xfId="0" applyFont="1" applyAlignment="1">
      <alignment/>
    </xf>
    <xf numFmtId="171" fontId="5" fillId="0" borderId="0" xfId="0" applyNumberFormat="1" applyFont="1" applyAlignment="1">
      <alignment vertical="center"/>
    </xf>
    <xf numFmtId="0" fontId="10" fillId="0" borderId="0" xfId="0" applyFont="1" applyFill="1" applyBorder="1" applyAlignment="1">
      <alignment horizontal="center"/>
    </xf>
    <xf numFmtId="171" fontId="10" fillId="0" borderId="0" xfId="0" applyNumberFormat="1" applyFont="1" applyFill="1" applyBorder="1" applyAlignment="1">
      <alignment horizontal="center"/>
    </xf>
    <xf numFmtId="0" fontId="5" fillId="33" borderId="0" xfId="0" applyFont="1" applyFill="1" applyAlignment="1">
      <alignment vertical="justify"/>
    </xf>
    <xf numFmtId="0" fontId="5" fillId="0" borderId="0" xfId="0" applyFont="1" applyAlignment="1">
      <alignment vertical="justify"/>
    </xf>
    <xf numFmtId="0" fontId="5" fillId="0" borderId="0" xfId="0" applyFont="1" applyFill="1" applyAlignment="1">
      <alignment vertical="justify"/>
    </xf>
    <xf numFmtId="173" fontId="5" fillId="0" borderId="0" xfId="0" applyNumberFormat="1" applyFont="1" applyAlignment="1">
      <alignment/>
    </xf>
    <xf numFmtId="177" fontId="5" fillId="0" borderId="0" xfId="0" applyNumberFormat="1" applyFont="1" applyAlignment="1">
      <alignment/>
    </xf>
    <xf numFmtId="0" fontId="12" fillId="0" borderId="0" xfId="0" applyFont="1" applyAlignment="1">
      <alignment wrapText="1"/>
    </xf>
    <xf numFmtId="0" fontId="0" fillId="0" borderId="0" xfId="0" applyFont="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xf>
    <xf numFmtId="0" fontId="13" fillId="0" borderId="0" xfId="0" applyFont="1" applyAlignment="1">
      <alignment/>
    </xf>
    <xf numFmtId="4" fontId="0" fillId="0" borderId="0" xfId="0" applyNumberFormat="1" applyAlignment="1">
      <alignment/>
    </xf>
    <xf numFmtId="0" fontId="5" fillId="33" borderId="0" xfId="0" applyFont="1" applyFill="1" applyAlignment="1">
      <alignment vertical="justify"/>
    </xf>
    <xf numFmtId="0" fontId="5" fillId="33" borderId="0" xfId="0" applyFont="1" applyFill="1" applyAlignment="1">
      <alignment horizontal="left" vertical="center" wrapText="1"/>
    </xf>
    <xf numFmtId="0" fontId="5" fillId="34" borderId="0" xfId="0" applyFont="1" applyFill="1" applyBorder="1" applyAlignment="1">
      <alignment horizontal="left" vertical="center" wrapText="1"/>
    </xf>
    <xf numFmtId="4" fontId="5" fillId="34" borderId="0" xfId="49" applyNumberFormat="1" applyFont="1" applyFill="1" applyBorder="1" applyAlignment="1">
      <alignment horizontal="right" vertical="center" wrapText="1"/>
    </xf>
    <xf numFmtId="171" fontId="5" fillId="0" borderId="0" xfId="0" applyNumberFormat="1" applyFont="1" applyFill="1" applyAlignment="1">
      <alignment horizontal="justify" vertical="center" wrapText="1"/>
    </xf>
    <xf numFmtId="1" fontId="0" fillId="0" borderId="0" xfId="0" applyNumberFormat="1" applyAlignment="1">
      <alignment horizontal="center" vertical="center"/>
    </xf>
    <xf numFmtId="49" fontId="0" fillId="33" borderId="0" xfId="0" applyNumberFormat="1" applyFont="1" applyFill="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0" xfId="0" applyNumberFormat="1" applyFont="1" applyAlignment="1">
      <alignment horizontal="center" vertical="center"/>
    </xf>
    <xf numFmtId="0" fontId="4" fillId="33" borderId="0" xfId="0" applyFont="1" applyFill="1" applyAlignment="1">
      <alignment vertical="center"/>
    </xf>
    <xf numFmtId="0" fontId="5" fillId="33" borderId="0" xfId="0" applyFont="1" applyFill="1" applyAlignment="1">
      <alignment vertical="center"/>
    </xf>
    <xf numFmtId="177" fontId="4" fillId="33" borderId="0" xfId="49" applyFont="1" applyFill="1" applyAlignment="1">
      <alignment vertical="center"/>
    </xf>
    <xf numFmtId="0" fontId="17" fillId="0" borderId="0" xfId="0" applyFont="1" applyAlignment="1">
      <alignment vertical="center"/>
    </xf>
    <xf numFmtId="4" fontId="17" fillId="0" borderId="0" xfId="0" applyNumberFormat="1" applyFont="1" applyAlignment="1">
      <alignment vertical="center"/>
    </xf>
    <xf numFmtId="171" fontId="17"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4" fontId="19" fillId="0" borderId="0" xfId="0" applyNumberFormat="1" applyFont="1" applyAlignment="1">
      <alignment horizontal="center" vertical="center"/>
    </xf>
    <xf numFmtId="0" fontId="76" fillId="35" borderId="15" xfId="0" applyFont="1" applyFill="1" applyBorder="1" applyAlignment="1">
      <alignment horizontal="center" vertical="center"/>
    </xf>
    <xf numFmtId="4" fontId="76" fillId="35" borderId="15" xfId="0" applyNumberFormat="1" applyFont="1" applyFill="1" applyBorder="1" applyAlignment="1">
      <alignment horizontal="center" vertical="center"/>
    </xf>
    <xf numFmtId="0" fontId="19" fillId="0" borderId="15" xfId="0" applyFont="1" applyFill="1" applyBorder="1" applyAlignment="1">
      <alignment vertical="center" wrapText="1"/>
    </xf>
    <xf numFmtId="4" fontId="19" fillId="34" borderId="15" xfId="0" applyNumberFormat="1" applyFont="1" applyFill="1" applyBorder="1" applyAlignment="1">
      <alignment vertical="center"/>
    </xf>
    <xf numFmtId="10" fontId="20" fillId="0" borderId="15" xfId="56" applyNumberFormat="1" applyFont="1" applyBorder="1" applyAlignment="1">
      <alignment vertical="center"/>
    </xf>
    <xf numFmtId="0" fontId="20" fillId="0" borderId="15" xfId="0" applyFont="1" applyFill="1" applyBorder="1" applyAlignment="1">
      <alignment vertical="center" wrapText="1"/>
    </xf>
    <xf numFmtId="4" fontId="20" fillId="34" borderId="15" xfId="0" applyNumberFormat="1" applyFont="1" applyFill="1" applyBorder="1" applyAlignment="1">
      <alignment vertical="center"/>
    </xf>
    <xf numFmtId="0" fontId="20" fillId="36" borderId="16" xfId="0" applyFont="1" applyFill="1" applyBorder="1" applyAlignment="1">
      <alignment vertical="center" wrapText="1"/>
    </xf>
    <xf numFmtId="0" fontId="20" fillId="36" borderId="17" xfId="0" applyFont="1" applyFill="1" applyBorder="1" applyAlignment="1">
      <alignment vertical="center" wrapText="1"/>
    </xf>
    <xf numFmtId="4" fontId="19" fillId="0" borderId="15" xfId="0" applyNumberFormat="1" applyFont="1" applyFill="1" applyBorder="1" applyAlignment="1">
      <alignment vertical="center"/>
    </xf>
    <xf numFmtId="10" fontId="76" fillId="35" borderId="15" xfId="0" applyNumberFormat="1" applyFont="1" applyFill="1" applyBorder="1" applyAlignment="1">
      <alignment horizontal="center" vertical="center"/>
    </xf>
    <xf numFmtId="171" fontId="20" fillId="0" borderId="0" xfId="0" applyNumberFormat="1" applyFont="1" applyAlignment="1">
      <alignment vertical="center"/>
    </xf>
    <xf numFmtId="49" fontId="16"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76" fillId="35" borderId="18" xfId="0" applyFont="1" applyFill="1" applyBorder="1" applyAlignment="1">
      <alignment horizontal="center" vertical="center" wrapText="1"/>
    </xf>
    <xf numFmtId="171" fontId="17" fillId="0" borderId="0" xfId="0" applyNumberFormat="1" applyFont="1" applyAlignment="1">
      <alignment vertical="center" wrapText="1"/>
    </xf>
    <xf numFmtId="0" fontId="21" fillId="34" borderId="15" xfId="0" applyFont="1" applyFill="1" applyBorder="1" applyAlignment="1">
      <alignment horizontal="center" vertical="center" wrapText="1"/>
    </xf>
    <xf numFmtId="171" fontId="19" fillId="34" borderId="15" xfId="0" applyNumberFormat="1" applyFont="1" applyFill="1" applyBorder="1" applyAlignment="1">
      <alignment horizontal="center" vertical="center" wrapText="1"/>
    </xf>
    <xf numFmtId="49" fontId="20" fillId="37" borderId="19" xfId="0" applyNumberFormat="1" applyFont="1" applyFill="1" applyBorder="1" applyAlignment="1">
      <alignment vertical="center" wrapText="1"/>
    </xf>
    <xf numFmtId="49" fontId="20" fillId="37" borderId="15" xfId="0" applyNumberFormat="1" applyFont="1" applyFill="1" applyBorder="1" applyAlignment="1">
      <alignment vertical="center" wrapText="1"/>
    </xf>
    <xf numFmtId="171" fontId="20" fillId="37" borderId="15" xfId="0" applyNumberFormat="1" applyFont="1" applyFill="1" applyBorder="1" applyAlignment="1">
      <alignment vertical="center" wrapText="1"/>
    </xf>
    <xf numFmtId="0" fontId="20" fillId="37" borderId="20" xfId="0" applyFont="1" applyFill="1" applyBorder="1" applyAlignment="1">
      <alignment vertical="center" wrapText="1"/>
    </xf>
    <xf numFmtId="0" fontId="17" fillId="0" borderId="0" xfId="0" applyFont="1" applyFill="1" applyAlignment="1">
      <alignment vertical="center" wrapText="1"/>
    </xf>
    <xf numFmtId="49" fontId="20" fillId="34" borderId="19" xfId="0" applyNumberFormat="1" applyFont="1" applyFill="1" applyBorder="1" applyAlignment="1">
      <alignment vertical="center" wrapText="1"/>
    </xf>
    <xf numFmtId="49" fontId="20" fillId="34" borderId="15" xfId="0" applyNumberFormat="1" applyFont="1" applyFill="1" applyBorder="1" applyAlignment="1">
      <alignment vertical="center" wrapText="1"/>
    </xf>
    <xf numFmtId="171" fontId="20" fillId="34" borderId="15" xfId="0" applyNumberFormat="1" applyFont="1" applyFill="1" applyBorder="1" applyAlignment="1">
      <alignment vertical="center" wrapText="1"/>
    </xf>
    <xf numFmtId="0" fontId="20" fillId="34" borderId="20" xfId="0" applyFont="1" applyFill="1" applyBorder="1" applyAlignment="1">
      <alignment vertical="center" wrapText="1"/>
    </xf>
    <xf numFmtId="171" fontId="76" fillId="35" borderId="21" xfId="0" applyNumberFormat="1" applyFont="1" applyFill="1" applyBorder="1" applyAlignment="1">
      <alignment vertical="center" wrapText="1"/>
    </xf>
    <xf numFmtId="0" fontId="76" fillId="35" borderId="21" xfId="0" applyFont="1" applyFill="1" applyBorder="1" applyAlignment="1">
      <alignment vertical="center" wrapText="1"/>
    </xf>
    <xf numFmtId="49" fontId="17" fillId="0" borderId="0" xfId="0" applyNumberFormat="1" applyFont="1" applyAlignment="1">
      <alignment vertical="center" wrapText="1"/>
    </xf>
    <xf numFmtId="49" fontId="17" fillId="0" borderId="0" xfId="0" applyNumberFormat="1" applyFont="1" applyFill="1" applyBorder="1" applyAlignment="1" applyProtection="1">
      <alignment vertical="center" wrapText="1"/>
      <protection/>
    </xf>
    <xf numFmtId="49" fontId="17" fillId="0" borderId="22" xfId="0" applyNumberFormat="1" applyFont="1" applyFill="1" applyBorder="1" applyAlignment="1">
      <alignment vertical="center" wrapText="1"/>
    </xf>
    <xf numFmtId="171" fontId="17" fillId="0" borderId="0" xfId="0" applyNumberFormat="1" applyFont="1" applyFill="1" applyBorder="1" applyAlignment="1">
      <alignment vertical="center" wrapText="1"/>
    </xf>
    <xf numFmtId="0" fontId="17" fillId="0" borderId="23" xfId="0" applyFont="1" applyFill="1" applyBorder="1" applyAlignment="1">
      <alignment vertical="center" wrapText="1"/>
    </xf>
    <xf numFmtId="49" fontId="16" fillId="0" borderId="0" xfId="0" applyNumberFormat="1" applyFont="1" applyFill="1" applyBorder="1" applyAlignment="1">
      <alignment horizontal="center" vertical="center"/>
    </xf>
    <xf numFmtId="0" fontId="76" fillId="35" borderId="15" xfId="0" applyFont="1" applyFill="1" applyBorder="1" applyAlignment="1">
      <alignment horizontal="center" vertical="center" wrapText="1"/>
    </xf>
    <xf numFmtId="49" fontId="18" fillId="0" borderId="15" xfId="0" applyNumberFormat="1" applyFont="1" applyBorder="1" applyAlignment="1">
      <alignment horizontal="center" vertical="center" textRotation="90"/>
    </xf>
    <xf numFmtId="49" fontId="18" fillId="0" borderId="15" xfId="0" applyNumberFormat="1" applyFont="1" applyBorder="1" applyAlignment="1">
      <alignment horizontal="center" vertical="center"/>
    </xf>
    <xf numFmtId="171" fontId="19" fillId="0" borderId="15" xfId="0" applyNumberFormat="1" applyFont="1" applyBorder="1" applyAlignment="1">
      <alignment horizontal="center" vertical="center"/>
    </xf>
    <xf numFmtId="0" fontId="18" fillId="0" borderId="15" xfId="0" applyFont="1" applyBorder="1" applyAlignment="1">
      <alignment horizontal="center" vertical="center"/>
    </xf>
    <xf numFmtId="0" fontId="20" fillId="34" borderId="19" xfId="0" applyFont="1" applyFill="1" applyBorder="1" applyAlignment="1">
      <alignment vertical="center" wrapText="1"/>
    </xf>
    <xf numFmtId="0" fontId="20" fillId="34" borderId="15" xfId="0" applyFont="1" applyFill="1" applyBorder="1" applyAlignment="1">
      <alignment vertical="center" wrapText="1"/>
    </xf>
    <xf numFmtId="4" fontId="20" fillId="34" borderId="24" xfId="49" applyNumberFormat="1" applyFont="1" applyFill="1" applyBorder="1" applyAlignment="1">
      <alignment vertical="center"/>
    </xf>
    <xf numFmtId="171" fontId="77" fillId="35" borderId="21" xfId="0" applyNumberFormat="1" applyFont="1" applyFill="1" applyBorder="1" applyAlignment="1">
      <alignment vertical="center"/>
    </xf>
    <xf numFmtId="0" fontId="78" fillId="35" borderId="21" xfId="0" applyFont="1" applyFill="1" applyBorder="1" applyAlignment="1">
      <alignment vertical="center"/>
    </xf>
    <xf numFmtId="49" fontId="17" fillId="0" borderId="0" xfId="0" applyNumberFormat="1" applyFont="1" applyAlignment="1">
      <alignment vertical="center"/>
    </xf>
    <xf numFmtId="171" fontId="17" fillId="0" borderId="0" xfId="0" applyNumberFormat="1" applyFont="1" applyFill="1" applyAlignment="1">
      <alignment vertical="center"/>
    </xf>
    <xf numFmtId="0" fontId="20" fillId="0" borderId="0" xfId="0" applyFont="1" applyAlignment="1">
      <alignment vertical="center" wrapText="1"/>
    </xf>
    <xf numFmtId="49" fontId="19" fillId="0" borderId="25"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0" fontId="76" fillId="35" borderId="21" xfId="0" applyFont="1" applyFill="1" applyBorder="1" applyAlignment="1">
      <alignment horizontal="center" vertical="center" wrapText="1"/>
    </xf>
    <xf numFmtId="171" fontId="76" fillId="35" borderId="21" xfId="0" applyNumberFormat="1" applyFont="1" applyFill="1" applyBorder="1" applyAlignment="1">
      <alignment horizontal="center" vertical="center" wrapText="1"/>
    </xf>
    <xf numFmtId="171" fontId="20" fillId="0" borderId="0" xfId="0" applyNumberFormat="1" applyFont="1" applyAlignment="1">
      <alignment vertical="center" wrapText="1"/>
    </xf>
    <xf numFmtId="49" fontId="19" fillId="0" borderId="15" xfId="0" applyNumberFormat="1" applyFont="1" applyBorder="1" applyAlignment="1">
      <alignment horizontal="center" vertical="center" textRotation="90" wrapText="1"/>
    </xf>
    <xf numFmtId="0" fontId="19" fillId="0" borderId="28" xfId="0" applyFont="1" applyBorder="1" applyAlignment="1">
      <alignment horizontal="center" vertical="center" wrapText="1"/>
    </xf>
    <xf numFmtId="171" fontId="19" fillId="0" borderId="18" xfId="0" applyNumberFormat="1" applyFont="1" applyBorder="1" applyAlignment="1">
      <alignment horizontal="center" vertical="center" wrapText="1"/>
    </xf>
    <xf numFmtId="0" fontId="19" fillId="0" borderId="18" xfId="0" applyFont="1" applyBorder="1" applyAlignment="1">
      <alignment horizontal="center" vertical="center" wrapText="1"/>
    </xf>
    <xf numFmtId="0" fontId="20" fillId="34" borderId="15" xfId="0" applyFont="1" applyFill="1" applyBorder="1" applyAlignment="1">
      <alignment horizontal="left" vertical="center" wrapText="1"/>
    </xf>
    <xf numFmtId="4" fontId="20" fillId="34" borderId="15" xfId="49" applyNumberFormat="1" applyFont="1" applyFill="1" applyBorder="1" applyAlignment="1">
      <alignment horizontal="right" vertical="center" wrapText="1"/>
    </xf>
    <xf numFmtId="0" fontId="20" fillId="34" borderId="0" xfId="0" applyFont="1" applyFill="1" applyAlignment="1">
      <alignment vertical="center" wrapText="1"/>
    </xf>
    <xf numFmtId="0" fontId="20" fillId="0" borderId="0" xfId="0" applyFont="1" applyFill="1" applyAlignment="1">
      <alignment vertical="center" wrapText="1"/>
    </xf>
    <xf numFmtId="4" fontId="20" fillId="34" borderId="0" xfId="0" applyNumberFormat="1" applyFont="1" applyFill="1" applyAlignment="1">
      <alignment vertical="center" wrapText="1"/>
    </xf>
    <xf numFmtId="171" fontId="76" fillId="35" borderId="29" xfId="0" applyNumberFormat="1" applyFont="1" applyFill="1" applyBorder="1" applyAlignment="1">
      <alignment vertical="center" wrapText="1"/>
    </xf>
    <xf numFmtId="0" fontId="76" fillId="35" borderId="29" xfId="0" applyFont="1" applyFill="1" applyBorder="1" applyAlignment="1">
      <alignment vertical="center" wrapText="1"/>
    </xf>
    <xf numFmtId="49" fontId="20" fillId="0" borderId="0" xfId="0" applyNumberFormat="1" applyFont="1" applyAlignment="1">
      <alignment vertical="center" wrapText="1"/>
    </xf>
    <xf numFmtId="49" fontId="18" fillId="0" borderId="0" xfId="0" applyNumberFormat="1" applyFont="1" applyFill="1" applyBorder="1" applyAlignment="1">
      <alignment horizontal="center" vertical="center" wrapText="1"/>
    </xf>
    <xf numFmtId="0" fontId="17" fillId="0" borderId="0" xfId="0" applyFont="1" applyFill="1" applyAlignment="1">
      <alignment horizontal="justify" vertical="center" wrapText="1"/>
    </xf>
    <xf numFmtId="0" fontId="79" fillId="35" borderId="21" xfId="0" applyFont="1" applyFill="1" applyBorder="1" applyAlignment="1">
      <alignment horizontal="center" vertical="center" wrapText="1"/>
    </xf>
    <xf numFmtId="49" fontId="18" fillId="0" borderId="24" xfId="0" applyNumberFormat="1" applyFont="1" applyBorder="1" applyAlignment="1">
      <alignment horizontal="justify" vertical="center" textRotation="90" wrapText="1"/>
    </xf>
    <xf numFmtId="0" fontId="18" fillId="0" borderId="24" xfId="0" applyFont="1" applyBorder="1" applyAlignment="1">
      <alignment horizontal="left" vertical="center" wrapText="1"/>
    </xf>
    <xf numFmtId="0" fontId="18" fillId="0" borderId="24" xfId="0" applyFont="1" applyBorder="1" applyAlignment="1">
      <alignment horizontal="justify" vertical="center" wrapText="1"/>
    </xf>
    <xf numFmtId="4" fontId="17" fillId="0" borderId="0" xfId="0" applyNumberFormat="1" applyFont="1" applyFill="1" applyAlignment="1">
      <alignment horizontal="justify" vertical="center" wrapText="1"/>
    </xf>
    <xf numFmtId="49" fontId="17" fillId="34" borderId="15" xfId="0" applyNumberFormat="1" applyFont="1" applyFill="1" applyBorder="1" applyAlignment="1">
      <alignment horizontal="justify" vertical="center" wrapText="1"/>
    </xf>
    <xf numFmtId="0" fontId="17" fillId="34" borderId="15" xfId="0" applyFont="1" applyFill="1" applyBorder="1" applyAlignment="1">
      <alignment vertical="center" wrapText="1"/>
    </xf>
    <xf numFmtId="0" fontId="78" fillId="35" borderId="15" xfId="0" applyFont="1" applyFill="1" applyBorder="1" applyAlignment="1">
      <alignment horizontal="justify" vertical="center"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18" fillId="0" borderId="0" xfId="0" applyNumberFormat="1" applyFont="1" applyFill="1" applyBorder="1" applyAlignment="1">
      <alignment horizontal="right" vertical="center" wrapText="1"/>
    </xf>
    <xf numFmtId="4" fontId="18" fillId="0" borderId="24" xfId="49" applyNumberFormat="1" applyFont="1" applyFill="1" applyBorder="1" applyAlignment="1">
      <alignment horizontal="right" vertical="center" wrapText="1"/>
    </xf>
    <xf numFmtId="177" fontId="17" fillId="37" borderId="15" xfId="49" applyFont="1" applyFill="1" applyBorder="1" applyAlignment="1">
      <alignment horizontal="right" vertical="center" wrapText="1"/>
    </xf>
    <xf numFmtId="177" fontId="17" fillId="0" borderId="15" xfId="49" applyFont="1" applyBorder="1" applyAlignment="1">
      <alignment horizontal="right" vertical="center" wrapText="1"/>
    </xf>
    <xf numFmtId="4" fontId="79" fillId="35" borderId="15" xfId="0" applyNumberFormat="1" applyFont="1" applyFill="1" applyBorder="1" applyAlignment="1">
      <alignment horizontal="right" vertical="center" wrapText="1"/>
    </xf>
    <xf numFmtId="171" fontId="17" fillId="0" borderId="0" xfId="0" applyNumberFormat="1" applyFont="1" applyAlignment="1">
      <alignment horizontal="right" vertical="center" wrapText="1"/>
    </xf>
    <xf numFmtId="0" fontId="17" fillId="0" borderId="0" xfId="0" applyFont="1" applyAlignment="1">
      <alignment horizontal="right" vertical="center" wrapText="1"/>
    </xf>
    <xf numFmtId="0" fontId="80" fillId="35" borderId="15" xfId="0" applyFont="1" applyFill="1" applyBorder="1" applyAlignment="1">
      <alignment/>
    </xf>
    <xf numFmtId="0" fontId="80" fillId="35" borderId="15" xfId="0" applyFont="1" applyFill="1" applyBorder="1" applyAlignment="1">
      <alignment horizontal="center" vertical="center" wrapText="1"/>
    </xf>
    <xf numFmtId="0" fontId="18" fillId="0" borderId="0" xfId="0" applyFont="1" applyBorder="1" applyAlignment="1">
      <alignment horizontal="center" vertical="center"/>
    </xf>
    <xf numFmtId="0" fontId="79" fillId="35" borderId="21" xfId="0" applyFont="1" applyFill="1" applyBorder="1" applyAlignment="1">
      <alignment horizontal="center" vertical="center"/>
    </xf>
    <xf numFmtId="0" fontId="79" fillId="35" borderId="21" xfId="0" applyNumberFormat="1" applyFont="1" applyFill="1" applyBorder="1" applyAlignment="1">
      <alignment horizontal="center" vertical="center" wrapText="1"/>
    </xf>
    <xf numFmtId="171" fontId="79" fillId="35" borderId="21" xfId="0" applyNumberFormat="1" applyFont="1" applyFill="1" applyBorder="1" applyAlignment="1">
      <alignment horizontal="center" vertical="center" wrapText="1"/>
    </xf>
    <xf numFmtId="9" fontId="79" fillId="35" borderId="21" xfId="56" applyNumberFormat="1" applyFont="1" applyFill="1" applyBorder="1" applyAlignment="1">
      <alignment horizontal="center" vertical="center" wrapText="1"/>
    </xf>
    <xf numFmtId="171" fontId="79" fillId="35" borderId="21" xfId="56" applyNumberFormat="1" applyFont="1" applyFill="1" applyBorder="1" applyAlignment="1">
      <alignment horizontal="center" vertical="center" wrapText="1"/>
    </xf>
    <xf numFmtId="178" fontId="79" fillId="35" borderId="21" xfId="56" applyNumberFormat="1" applyFont="1" applyFill="1" applyBorder="1" applyAlignment="1">
      <alignment horizontal="center" vertical="center" wrapText="1"/>
    </xf>
    <xf numFmtId="0" fontId="18" fillId="0" borderId="30" xfId="0" applyFont="1" applyBorder="1" applyAlignment="1">
      <alignment horizontal="right" vertical="center"/>
    </xf>
    <xf numFmtId="0" fontId="18" fillId="0" borderId="31" xfId="0" applyNumberFormat="1" applyFont="1" applyBorder="1" applyAlignment="1">
      <alignment horizontal="center" vertical="center" wrapText="1"/>
    </xf>
    <xf numFmtId="171" fontId="18" fillId="0" borderId="31" xfId="0" applyNumberFormat="1" applyFont="1" applyFill="1" applyBorder="1" applyAlignment="1">
      <alignment vertical="center"/>
    </xf>
    <xf numFmtId="9" fontId="18" fillId="0" borderId="31" xfId="56" applyFont="1" applyFill="1" applyBorder="1" applyAlignment="1">
      <alignment horizontal="center" vertical="center"/>
    </xf>
    <xf numFmtId="9" fontId="18" fillId="0" borderId="28" xfId="56" applyFont="1" applyFill="1" applyBorder="1" applyAlignment="1">
      <alignment horizontal="center" vertical="center"/>
    </xf>
    <xf numFmtId="171" fontId="18" fillId="38" borderId="0" xfId="0" applyNumberFormat="1" applyFont="1" applyFill="1" applyBorder="1" applyAlignment="1">
      <alignment vertical="center"/>
    </xf>
    <xf numFmtId="9" fontId="18" fillId="38" borderId="0" xfId="56" applyNumberFormat="1" applyFont="1" applyFill="1" applyBorder="1" applyAlignment="1">
      <alignment horizontal="center" vertical="center"/>
    </xf>
    <xf numFmtId="178" fontId="18" fillId="38" borderId="23" xfId="56" applyNumberFormat="1" applyFont="1" applyFill="1" applyBorder="1" applyAlignment="1">
      <alignment horizontal="center" vertical="center"/>
    </xf>
    <xf numFmtId="0" fontId="81" fillId="0" borderId="0" xfId="0" applyFont="1" applyAlignment="1">
      <alignment vertical="center"/>
    </xf>
    <xf numFmtId="0" fontId="17" fillId="0" borderId="22" xfId="0" applyFont="1" applyBorder="1" applyAlignment="1">
      <alignment horizontal="right" vertical="center"/>
    </xf>
    <xf numFmtId="0" fontId="17" fillId="0" borderId="0" xfId="0" applyNumberFormat="1" applyFont="1" applyBorder="1" applyAlignment="1">
      <alignment vertical="center" wrapText="1"/>
    </xf>
    <xf numFmtId="171" fontId="17" fillId="0" borderId="0" xfId="0" applyNumberFormat="1" applyFont="1" applyFill="1" applyBorder="1" applyAlignment="1">
      <alignment vertical="center"/>
    </xf>
    <xf numFmtId="9" fontId="17" fillId="0" borderId="0" xfId="56" applyNumberFormat="1" applyFont="1" applyFill="1" applyBorder="1" applyAlignment="1">
      <alignment horizontal="center" vertical="center"/>
    </xf>
    <xf numFmtId="171" fontId="17" fillId="0" borderId="0" xfId="56" applyNumberFormat="1" applyFont="1" applyFill="1" applyBorder="1" applyAlignment="1">
      <alignment horizontal="center" vertical="center"/>
    </xf>
    <xf numFmtId="178" fontId="17" fillId="0" borderId="23" xfId="56" applyNumberFormat="1" applyFont="1" applyBorder="1" applyAlignment="1">
      <alignment horizontal="center" vertical="center"/>
    </xf>
    <xf numFmtId="171" fontId="81" fillId="38" borderId="0" xfId="0" applyNumberFormat="1" applyFont="1" applyFill="1" applyBorder="1" applyAlignment="1">
      <alignment vertical="center"/>
    </xf>
    <xf numFmtId="9" fontId="81" fillId="38" borderId="0" xfId="56" applyNumberFormat="1" applyFont="1" applyFill="1" applyBorder="1" applyAlignment="1">
      <alignment horizontal="center" vertical="center"/>
    </xf>
    <xf numFmtId="178" fontId="81" fillId="38" borderId="23" xfId="56" applyNumberFormat="1" applyFont="1" applyFill="1" applyBorder="1" applyAlignment="1">
      <alignment horizontal="center" vertical="center"/>
    </xf>
    <xf numFmtId="0" fontId="17" fillId="0" borderId="0" xfId="0" applyFont="1" applyBorder="1" applyAlignment="1">
      <alignment vertical="center" wrapText="1"/>
    </xf>
    <xf numFmtId="9" fontId="17" fillId="0" borderId="0" xfId="56" applyFont="1" applyFill="1" applyBorder="1" applyAlignment="1">
      <alignment horizontal="center" vertical="center"/>
    </xf>
    <xf numFmtId="4" fontId="17" fillId="0" borderId="22" xfId="0" applyNumberFormat="1" applyFont="1" applyBorder="1" applyAlignment="1">
      <alignment horizontal="right" vertical="center"/>
    </xf>
    <xf numFmtId="49" fontId="17" fillId="0" borderId="0" xfId="0" applyNumberFormat="1" applyFont="1" applyFill="1" applyBorder="1" applyAlignment="1">
      <alignment vertical="center" wrapText="1"/>
    </xf>
    <xf numFmtId="0" fontId="17" fillId="0" borderId="25" xfId="0" applyFont="1" applyBorder="1" applyAlignment="1">
      <alignment horizontal="right" vertical="center"/>
    </xf>
    <xf numFmtId="0" fontId="17" fillId="0" borderId="26" xfId="0" applyNumberFormat="1" applyFont="1" applyBorder="1" applyAlignment="1">
      <alignment vertical="center" wrapText="1"/>
    </xf>
    <xf numFmtId="171" fontId="17" fillId="0" borderId="26" xfId="0" applyNumberFormat="1" applyFont="1" applyFill="1" applyBorder="1" applyAlignment="1">
      <alignment vertical="center"/>
    </xf>
    <xf numFmtId="9" fontId="17" fillId="0" borderId="26" xfId="56" applyNumberFormat="1" applyFont="1" applyFill="1" applyBorder="1" applyAlignment="1">
      <alignment horizontal="center" vertical="center"/>
    </xf>
    <xf numFmtId="9" fontId="17" fillId="0" borderId="26" xfId="56" applyFont="1" applyFill="1" applyBorder="1" applyAlignment="1">
      <alignment horizontal="center" vertical="center"/>
    </xf>
    <xf numFmtId="178" fontId="17" fillId="0" borderId="27" xfId="56" applyNumberFormat="1" applyFont="1" applyBorder="1" applyAlignment="1">
      <alignment horizontal="center" vertical="center"/>
    </xf>
    <xf numFmtId="0" fontId="17" fillId="0" borderId="0" xfId="0" applyFont="1" applyAlignment="1">
      <alignment horizontal="right" vertical="center"/>
    </xf>
    <xf numFmtId="0" fontId="17" fillId="0" borderId="0" xfId="0" applyNumberFormat="1" applyFont="1" applyAlignment="1">
      <alignment vertical="center" wrapText="1"/>
    </xf>
    <xf numFmtId="9" fontId="17" fillId="0" borderId="0" xfId="56" applyNumberFormat="1" applyFont="1" applyAlignment="1">
      <alignment horizontal="center" vertical="center"/>
    </xf>
    <xf numFmtId="171" fontId="17" fillId="0" borderId="0" xfId="56" applyNumberFormat="1" applyFont="1" applyAlignment="1">
      <alignment horizontal="center" vertical="center"/>
    </xf>
    <xf numFmtId="0" fontId="18" fillId="38" borderId="22" xfId="0" applyFont="1" applyFill="1" applyBorder="1" applyAlignment="1">
      <alignment horizontal="center" vertical="center"/>
    </xf>
    <xf numFmtId="0" fontId="18" fillId="38" borderId="0" xfId="0" applyNumberFormat="1" applyFont="1" applyFill="1" applyBorder="1" applyAlignment="1">
      <alignment horizontal="center" vertical="center" wrapText="1"/>
    </xf>
    <xf numFmtId="0" fontId="81" fillId="38" borderId="22" xfId="0" applyFont="1" applyFill="1" applyBorder="1" applyAlignment="1">
      <alignment horizontal="center" vertical="center"/>
    </xf>
    <xf numFmtId="0" fontId="81" fillId="38" borderId="0" xfId="0" applyNumberFormat="1" applyFont="1" applyFill="1" applyBorder="1" applyAlignment="1">
      <alignment horizontal="center" vertical="center" wrapText="1"/>
    </xf>
    <xf numFmtId="0" fontId="82" fillId="38" borderId="16" xfId="0" applyFont="1" applyFill="1" applyBorder="1" applyAlignment="1">
      <alignment horizontal="center"/>
    </xf>
    <xf numFmtId="0" fontId="82" fillId="38" borderId="32" xfId="0" applyFont="1" applyFill="1" applyBorder="1" applyAlignment="1">
      <alignment/>
    </xf>
    <xf numFmtId="171" fontId="82" fillId="38" borderId="32" xfId="0" applyNumberFormat="1" applyFont="1" applyFill="1" applyBorder="1" applyAlignment="1">
      <alignment/>
    </xf>
    <xf numFmtId="171" fontId="82" fillId="38" borderId="17" xfId="0" applyNumberFormat="1" applyFont="1" applyFill="1" applyBorder="1" applyAlignment="1">
      <alignment/>
    </xf>
    <xf numFmtId="0" fontId="17" fillId="0" borderId="0" xfId="0" applyFont="1" applyAlignment="1">
      <alignment/>
    </xf>
    <xf numFmtId="10" fontId="17" fillId="0" borderId="0" xfId="56" applyNumberFormat="1" applyFont="1" applyAlignment="1">
      <alignment/>
    </xf>
    <xf numFmtId="0" fontId="79" fillId="35" borderId="15" xfId="0" applyFont="1" applyFill="1" applyBorder="1" applyAlignment="1">
      <alignment horizontal="center"/>
    </xf>
    <xf numFmtId="10" fontId="79" fillId="35" borderId="15" xfId="56" applyNumberFormat="1" applyFont="1" applyFill="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10" fontId="17" fillId="0" borderId="35" xfId="56" applyNumberFormat="1" applyFont="1" applyBorder="1" applyAlignment="1">
      <alignment horizontal="center"/>
    </xf>
    <xf numFmtId="0" fontId="17" fillId="0" borderId="10" xfId="0" applyFont="1" applyBorder="1" applyAlignment="1">
      <alignment/>
    </xf>
    <xf numFmtId="0" fontId="18" fillId="0" borderId="0" xfId="0" applyFont="1" applyBorder="1" applyAlignment="1">
      <alignment/>
    </xf>
    <xf numFmtId="171" fontId="18" fillId="0" borderId="0" xfId="0" applyNumberFormat="1" applyFont="1" applyBorder="1" applyAlignment="1">
      <alignment/>
    </xf>
    <xf numFmtId="10" fontId="18" fillId="0" borderId="13" xfId="56" applyNumberFormat="1" applyFont="1" applyBorder="1" applyAlignment="1">
      <alignment horizontal="center"/>
    </xf>
    <xf numFmtId="0" fontId="17" fillId="0" borderId="0" xfId="0" applyFont="1" applyBorder="1" applyAlignment="1">
      <alignment/>
    </xf>
    <xf numFmtId="171" fontId="17" fillId="0" borderId="0" xfId="0" applyNumberFormat="1" applyFont="1" applyBorder="1" applyAlignment="1">
      <alignment/>
    </xf>
    <xf numFmtId="10" fontId="17" fillId="0" borderId="13" xfId="56" applyNumberFormat="1" applyFont="1" applyBorder="1" applyAlignment="1">
      <alignment/>
    </xf>
    <xf numFmtId="0" fontId="17" fillId="0" borderId="10" xfId="0" applyFont="1" applyBorder="1" applyAlignment="1">
      <alignment horizontal="center"/>
    </xf>
    <xf numFmtId="0" fontId="83" fillId="35" borderId="27" xfId="0" applyFont="1" applyFill="1" applyBorder="1" applyAlignment="1">
      <alignment/>
    </xf>
    <xf numFmtId="4" fontId="84" fillId="35" borderId="27" xfId="0" applyNumberFormat="1" applyFont="1" applyFill="1" applyBorder="1" applyAlignment="1">
      <alignment horizontal="right"/>
    </xf>
    <xf numFmtId="0" fontId="18" fillId="0" borderId="0" xfId="0" applyFont="1" applyAlignment="1">
      <alignment horizontal="center" vertical="center" wrapText="1"/>
    </xf>
    <xf numFmtId="0" fontId="18" fillId="0" borderId="0" xfId="0" applyNumberFormat="1" applyFont="1" applyAlignment="1">
      <alignment vertical="center"/>
    </xf>
    <xf numFmtId="0" fontId="17" fillId="0" borderId="0" xfId="0" applyFont="1" applyAlignment="1">
      <alignment horizontal="center" vertical="center" wrapText="1"/>
    </xf>
    <xf numFmtId="4" fontId="18" fillId="39" borderId="15" xfId="0" applyNumberFormat="1" applyFont="1" applyFill="1" applyBorder="1" applyAlignment="1">
      <alignment horizontal="right"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4" fontId="18" fillId="0" borderId="15" xfId="0" applyNumberFormat="1" applyFont="1" applyBorder="1" applyAlignment="1" applyProtection="1">
      <alignment horizontal="right" vertical="center" wrapText="1"/>
      <protection locked="0"/>
    </xf>
    <xf numFmtId="0" fontId="23" fillId="0" borderId="0" xfId="0" applyFont="1" applyAlignment="1">
      <alignment vertical="center" wrapText="1"/>
    </xf>
    <xf numFmtId="0" fontId="18" fillId="0" borderId="0" xfId="0" applyFont="1" applyAlignment="1">
      <alignment vertical="center" wrapText="1"/>
    </xf>
    <xf numFmtId="0" fontId="18" fillId="37" borderId="15" xfId="0" applyFont="1" applyFill="1" applyBorder="1" applyAlignment="1">
      <alignment vertical="center" wrapText="1"/>
    </xf>
    <xf numFmtId="4" fontId="18" fillId="37" borderId="15" xfId="0" applyNumberFormat="1" applyFont="1" applyFill="1" applyBorder="1" applyAlignment="1">
      <alignment horizontal="right" vertical="center" wrapText="1"/>
    </xf>
    <xf numFmtId="4" fontId="17" fillId="0" borderId="0" xfId="0" applyNumberFormat="1" applyFont="1" applyAlignment="1">
      <alignment horizontal="right" vertical="center" wrapText="1"/>
    </xf>
    <xf numFmtId="4" fontId="17"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18" fillId="0" borderId="15" xfId="0" applyFont="1" applyFill="1" applyBorder="1" applyAlignment="1">
      <alignment horizontal="justify" vertical="center" wrapText="1"/>
    </xf>
    <xf numFmtId="177" fontId="18" fillId="0" borderId="15" xfId="49" applyFont="1" applyFill="1" applyBorder="1" applyAlignment="1">
      <alignment horizontal="right" vertical="center" wrapText="1"/>
    </xf>
    <xf numFmtId="49" fontId="17" fillId="0" borderId="24"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justify" vertical="center" wrapText="1"/>
    </xf>
    <xf numFmtId="0" fontId="18" fillId="0" borderId="15" xfId="0" applyFont="1" applyFill="1" applyBorder="1" applyAlignment="1" applyProtection="1">
      <alignment horizontal="justify" vertical="center" wrapText="1"/>
      <protection/>
    </xf>
    <xf numFmtId="0" fontId="17" fillId="0" borderId="15" xfId="0" applyFont="1" applyFill="1" applyBorder="1" applyAlignment="1" applyProtection="1">
      <alignment horizontal="justify" vertical="center" wrapText="1"/>
      <protection/>
    </xf>
    <xf numFmtId="4" fontId="17" fillId="0" borderId="15" xfId="0" applyNumberFormat="1" applyFont="1" applyFill="1" applyBorder="1" applyAlignment="1">
      <alignment horizontal="right" vertical="center" wrapText="1"/>
    </xf>
    <xf numFmtId="0" fontId="17" fillId="39" borderId="15" xfId="0" applyFont="1" applyFill="1" applyBorder="1" applyAlignment="1" applyProtection="1">
      <alignment horizontal="center" vertical="center" wrapText="1"/>
      <protection/>
    </xf>
    <xf numFmtId="49" fontId="17" fillId="39" borderId="15" xfId="0" applyNumberFormat="1" applyFont="1" applyFill="1" applyBorder="1" applyAlignment="1">
      <alignment horizontal="center" vertical="center" wrapText="1"/>
    </xf>
    <xf numFmtId="0" fontId="17" fillId="39" borderId="16" xfId="0" applyFont="1" applyFill="1" applyBorder="1" applyAlignment="1">
      <alignment horizontal="left" vertical="center" wrapText="1"/>
    </xf>
    <xf numFmtId="4" fontId="17" fillId="0" borderId="15" xfId="0" applyNumberFormat="1" applyFont="1" applyFill="1" applyBorder="1" applyAlignment="1">
      <alignment horizontal="center" vertical="center" wrapText="1"/>
    </xf>
    <xf numFmtId="4" fontId="17" fillId="0" borderId="0" xfId="0" applyNumberFormat="1" applyFont="1" applyAlignment="1">
      <alignment vertical="center" wrapText="1"/>
    </xf>
    <xf numFmtId="4" fontId="18" fillId="0" borderId="15" xfId="0" applyNumberFormat="1" applyFont="1" applyFill="1" applyBorder="1" applyAlignment="1">
      <alignment horizontal="right" vertical="center" wrapText="1"/>
    </xf>
    <xf numFmtId="171" fontId="17" fillId="0" borderId="0" xfId="0" applyNumberFormat="1" applyFont="1" applyBorder="1" applyAlignment="1">
      <alignment vertical="center" wrapText="1"/>
    </xf>
    <xf numFmtId="0" fontId="17" fillId="0" borderId="16" xfId="0" applyFont="1" applyFill="1" applyBorder="1" applyAlignment="1">
      <alignment horizontal="left" vertical="center" wrapText="1"/>
    </xf>
    <xf numFmtId="0" fontId="17" fillId="34" borderId="15" xfId="0" applyFont="1" applyFill="1" applyBorder="1" applyAlignment="1" applyProtection="1">
      <alignment horizontal="justify" vertical="center" wrapText="1"/>
      <protection/>
    </xf>
    <xf numFmtId="4" fontId="17" fillId="34" borderId="20" xfId="0" applyNumberFormat="1" applyFont="1" applyFill="1" applyBorder="1" applyAlignment="1" applyProtection="1">
      <alignment horizontal="right" vertical="center" wrapText="1"/>
      <protection locked="0"/>
    </xf>
    <xf numFmtId="4" fontId="17" fillId="0" borderId="0" xfId="0" applyNumberFormat="1" applyFont="1" applyBorder="1" applyAlignment="1">
      <alignment vertical="center" wrapText="1"/>
    </xf>
    <xf numFmtId="4" fontId="18" fillId="0" borderId="15" xfId="0" applyNumberFormat="1" applyFont="1" applyFill="1" applyBorder="1" applyAlignment="1">
      <alignment vertical="center" wrapText="1"/>
    </xf>
    <xf numFmtId="1" fontId="17" fillId="0" borderId="24" xfId="0" applyNumberFormat="1" applyFont="1" applyFill="1" applyBorder="1" applyAlignment="1">
      <alignment horizontal="center" vertical="center" wrapText="1"/>
    </xf>
    <xf numFmtId="0" fontId="17" fillId="0" borderId="14" xfId="0" applyNumberFormat="1" applyFont="1" applyFill="1" applyBorder="1" applyAlignment="1">
      <alignment horizontal="justify" vertical="center" wrapText="1"/>
    </xf>
    <xf numFmtId="0" fontId="18" fillId="0" borderId="36" xfId="0" applyFont="1" applyFill="1" applyBorder="1" applyAlignment="1">
      <alignment horizontal="justify" vertical="center" wrapText="1"/>
    </xf>
    <xf numFmtId="4" fontId="17" fillId="34" borderId="15" xfId="0" applyNumberFormat="1" applyFont="1" applyFill="1" applyBorder="1" applyAlignment="1" applyProtection="1">
      <alignment horizontal="right" vertical="center" wrapText="1"/>
      <protection locked="0"/>
    </xf>
    <xf numFmtId="1" fontId="17"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7" fillId="34" borderId="16" xfId="0" applyNumberFormat="1" applyFont="1" applyFill="1" applyBorder="1" applyAlignment="1">
      <alignment horizontal="justify" vertical="center" wrapText="1"/>
    </xf>
    <xf numFmtId="171" fontId="17" fillId="34" borderId="15" xfId="0" applyNumberFormat="1" applyFont="1" applyFill="1" applyBorder="1" applyAlignment="1">
      <alignment horizontal="right" vertical="center" wrapText="1"/>
    </xf>
    <xf numFmtId="171" fontId="17" fillId="34" borderId="20" xfId="0" applyNumberFormat="1" applyFont="1" applyFill="1" applyBorder="1" applyAlignment="1">
      <alignment horizontal="right" vertical="center" wrapText="1"/>
    </xf>
    <xf numFmtId="0" fontId="18" fillId="34" borderId="36" xfId="0" applyFont="1" applyFill="1" applyBorder="1" applyAlignment="1">
      <alignment horizontal="justify" vertical="center" wrapText="1"/>
    </xf>
    <xf numFmtId="171" fontId="17" fillId="34" borderId="0" xfId="0" applyNumberFormat="1" applyFont="1" applyFill="1" applyBorder="1" applyAlignment="1">
      <alignment vertical="center" wrapText="1"/>
    </xf>
    <xf numFmtId="0" fontId="17" fillId="34" borderId="0" xfId="0" applyFont="1" applyFill="1" applyAlignment="1">
      <alignment vertical="center" wrapText="1"/>
    </xf>
    <xf numFmtId="4" fontId="18" fillId="34" borderId="15" xfId="0" applyNumberFormat="1" applyFont="1" applyFill="1" applyBorder="1" applyAlignment="1" applyProtection="1">
      <alignment horizontal="right" vertical="center" wrapText="1"/>
      <protection locked="0"/>
    </xf>
    <xf numFmtId="4" fontId="18" fillId="39" borderId="37" xfId="0" applyNumberFormat="1" applyFont="1" applyFill="1" applyBorder="1" applyAlignment="1">
      <alignment horizontal="right" vertical="center" wrapText="1"/>
    </xf>
    <xf numFmtId="4" fontId="17" fillId="0" borderId="20" xfId="0" applyNumberFormat="1" applyFont="1" applyFill="1" applyBorder="1" applyAlignment="1" applyProtection="1">
      <alignment horizontal="right" vertical="center" wrapText="1"/>
      <protection locked="0"/>
    </xf>
    <xf numFmtId="0" fontId="17" fillId="34" borderId="24" xfId="0" applyFont="1" applyFill="1" applyBorder="1" applyAlignment="1" applyProtection="1">
      <alignment horizontal="center" vertical="center" wrapText="1"/>
      <protection/>
    </xf>
    <xf numFmtId="0" fontId="17" fillId="34" borderId="16" xfId="0" applyFont="1" applyFill="1" applyBorder="1" applyAlignment="1">
      <alignment horizontal="left" vertical="center" wrapText="1"/>
    </xf>
    <xf numFmtId="0" fontId="17" fillId="0" borderId="36" xfId="0" applyFont="1" applyFill="1" applyBorder="1" applyAlignment="1">
      <alignment horizontal="justify" vertical="center" wrapText="1"/>
    </xf>
    <xf numFmtId="0" fontId="17" fillId="34" borderId="16" xfId="0" applyFont="1" applyFill="1" applyBorder="1" applyAlignment="1">
      <alignment horizontal="justify" vertical="center" wrapText="1"/>
    </xf>
    <xf numFmtId="0" fontId="17" fillId="34" borderId="15" xfId="0" applyFont="1" applyFill="1" applyBorder="1" applyAlignment="1">
      <alignment horizontal="justify" vertical="center" wrapText="1"/>
    </xf>
    <xf numFmtId="0" fontId="17" fillId="34" borderId="0" xfId="0" applyFont="1" applyFill="1" applyBorder="1" applyAlignment="1">
      <alignment vertical="center" wrapText="1"/>
    </xf>
    <xf numFmtId="171" fontId="18" fillId="34" borderId="15" xfId="0" applyNumberFormat="1" applyFont="1" applyFill="1" applyBorder="1" applyAlignment="1">
      <alignment horizontal="right" vertical="center" wrapText="1"/>
    </xf>
    <xf numFmtId="4" fontId="18" fillId="34" borderId="15" xfId="0" applyNumberFormat="1" applyFont="1" applyFill="1" applyBorder="1" applyAlignment="1">
      <alignment horizontal="right" vertical="center" wrapText="1"/>
    </xf>
    <xf numFmtId="0" fontId="17" fillId="34" borderId="14" xfId="0" applyNumberFormat="1" applyFont="1" applyFill="1" applyBorder="1" applyAlignment="1">
      <alignment horizontal="justify" vertical="center" wrapText="1"/>
    </xf>
    <xf numFmtId="171" fontId="17" fillId="34" borderId="24" xfId="0" applyNumberFormat="1" applyFont="1" applyFill="1" applyBorder="1" applyAlignment="1">
      <alignment horizontal="right" vertical="center" wrapText="1"/>
    </xf>
    <xf numFmtId="171" fontId="17" fillId="0" borderId="15" xfId="0" applyNumberFormat="1" applyFont="1" applyFill="1" applyBorder="1" applyAlignment="1">
      <alignment horizontal="right" vertical="center" wrapText="1"/>
    </xf>
    <xf numFmtId="49" fontId="17" fillId="0" borderId="0" xfId="0" applyNumberFormat="1" applyFont="1" applyFill="1" applyBorder="1" applyAlignment="1">
      <alignment horizontal="justify" vertical="center" wrapText="1"/>
    </xf>
    <xf numFmtId="0" fontId="17" fillId="0" borderId="24" xfId="0" applyFont="1" applyBorder="1" applyAlignment="1">
      <alignment vertical="center" wrapText="1"/>
    </xf>
    <xf numFmtId="0" fontId="17" fillId="0" borderId="15" xfId="0" applyFont="1" applyBorder="1" applyAlignment="1">
      <alignment horizontal="justify" vertical="center" wrapText="1"/>
    </xf>
    <xf numFmtId="4" fontId="17" fillId="0" borderId="15" xfId="0" applyNumberFormat="1" applyFont="1" applyBorder="1" applyAlignment="1">
      <alignment horizontal="right" vertical="center" wrapText="1"/>
    </xf>
    <xf numFmtId="4" fontId="17" fillId="34" borderId="37" xfId="0" applyNumberFormat="1" applyFont="1" applyFill="1" applyBorder="1" applyAlignment="1" applyProtection="1">
      <alignment vertical="center" wrapText="1"/>
      <protection/>
    </xf>
    <xf numFmtId="4" fontId="79" fillId="35" borderId="21"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4" fontId="17" fillId="0" borderId="0" xfId="0" applyNumberFormat="1" applyFont="1" applyBorder="1" applyAlignment="1">
      <alignment horizontal="right" vertical="center" wrapText="1"/>
    </xf>
    <xf numFmtId="1" fontId="17" fillId="0" borderId="0" xfId="0" applyNumberFormat="1" applyFont="1" applyBorder="1" applyAlignment="1">
      <alignment horizontal="center" vertical="center" wrapText="1"/>
    </xf>
    <xf numFmtId="49" fontId="17"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171" fontId="17" fillId="0" borderId="0" xfId="0" applyNumberFormat="1" applyFont="1" applyBorder="1" applyAlignment="1">
      <alignment horizontal="right" vertical="center" wrapText="1"/>
    </xf>
    <xf numFmtId="4" fontId="17" fillId="0" borderId="0" xfId="0" applyNumberFormat="1" applyFont="1" applyAlignment="1">
      <alignment horizontal="justify" vertical="center" wrapText="1"/>
    </xf>
    <xf numFmtId="0" fontId="17" fillId="38" borderId="24" xfId="0" applyFont="1" applyFill="1" applyBorder="1" applyAlignment="1">
      <alignment vertical="center" wrapText="1"/>
    </xf>
    <xf numFmtId="49" fontId="17" fillId="38" borderId="15" xfId="0" applyNumberFormat="1" applyFont="1" applyFill="1" applyBorder="1" applyAlignment="1" applyProtection="1">
      <alignment horizontal="left" vertical="center" wrapText="1"/>
      <protection locked="0"/>
    </xf>
    <xf numFmtId="177" fontId="17" fillId="38" borderId="15" xfId="49" applyFont="1" applyFill="1" applyBorder="1" applyAlignment="1">
      <alignment horizontal="right" vertical="center" wrapText="1"/>
    </xf>
    <xf numFmtId="0" fontId="18" fillId="0" borderId="15" xfId="0" applyFont="1" applyFill="1" applyBorder="1" applyAlignment="1">
      <alignment horizontal="left" vertical="center" wrapText="1"/>
    </xf>
    <xf numFmtId="0" fontId="17" fillId="34" borderId="15"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8" fillId="34" borderId="15" xfId="0" applyFont="1" applyFill="1" applyBorder="1" applyAlignment="1" applyProtection="1">
      <alignment horizontal="left" vertical="center" wrapText="1"/>
      <protection/>
    </xf>
    <xf numFmtId="4" fontId="18" fillId="34" borderId="15" xfId="0" applyNumberFormat="1" applyFont="1" applyFill="1" applyBorder="1" applyAlignment="1" applyProtection="1">
      <alignment horizontal="left" vertical="center" wrapText="1"/>
      <protection/>
    </xf>
    <xf numFmtId="49" fontId="85" fillId="0" borderId="16" xfId="0" applyNumberFormat="1" applyFont="1" applyBorder="1" applyAlignment="1" applyProtection="1">
      <alignment horizontal="left" vertical="center" wrapText="1"/>
      <protection locked="0"/>
    </xf>
    <xf numFmtId="0" fontId="17" fillId="34" borderId="36" xfId="0" applyFont="1" applyFill="1" applyBorder="1" applyAlignment="1">
      <alignment horizontal="justify" vertical="center" wrapText="1"/>
    </xf>
    <xf numFmtId="1" fontId="17"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justify" vertical="center" wrapText="1"/>
    </xf>
    <xf numFmtId="171" fontId="18" fillId="0" borderId="0" xfId="0" applyNumberFormat="1" applyFont="1" applyBorder="1" applyAlignment="1">
      <alignment horizontal="center" vertical="center"/>
    </xf>
    <xf numFmtId="0"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Alignment="1">
      <alignment horizontal="center" vertical="center" wrapText="1"/>
    </xf>
    <xf numFmtId="0" fontId="20" fillId="0" borderId="0" xfId="0" applyFont="1" applyFill="1" applyBorder="1" applyAlignment="1">
      <alignment horizontal="justify" vertical="center" wrapText="1"/>
    </xf>
    <xf numFmtId="0" fontId="76" fillId="35" borderId="15" xfId="0" applyFont="1" applyFill="1" applyBorder="1" applyAlignment="1">
      <alignment vertical="center" wrapText="1"/>
    </xf>
    <xf numFmtId="4" fontId="76" fillId="35" borderId="15" xfId="0" applyNumberFormat="1" applyFont="1" applyFill="1" applyBorder="1" applyAlignment="1">
      <alignment vertical="center" wrapText="1"/>
    </xf>
    <xf numFmtId="10" fontId="76" fillId="35" borderId="15" xfId="0" applyNumberFormat="1" applyFont="1" applyFill="1" applyBorder="1" applyAlignment="1">
      <alignment vertical="center" wrapText="1"/>
    </xf>
    <xf numFmtId="177" fontId="24" fillId="0" borderId="15" xfId="49" applyFont="1" applyFill="1" applyBorder="1" applyAlignment="1">
      <alignment horizontal="right" vertical="center" wrapText="1"/>
    </xf>
    <xf numFmtId="171" fontId="81" fillId="0" borderId="0" xfId="0" applyNumberFormat="1" applyFont="1" applyAlignment="1">
      <alignment vertical="center"/>
    </xf>
    <xf numFmtId="181" fontId="17" fillId="0" borderId="0" xfId="0" applyNumberFormat="1" applyFont="1" applyBorder="1" applyAlignment="1">
      <alignment vertical="center" wrapText="1"/>
    </xf>
    <xf numFmtId="0" fontId="17" fillId="39" borderId="15" xfId="0" applyFont="1" applyFill="1" applyBorder="1" applyAlignment="1">
      <alignment horizontal="left" vertical="center" wrapText="1"/>
    </xf>
    <xf numFmtId="4" fontId="17" fillId="34" borderId="15" xfId="49" applyNumberFormat="1" applyFont="1" applyFill="1" applyBorder="1" applyAlignment="1">
      <alignment horizontal="right" vertical="center" wrapText="1"/>
    </xf>
    <xf numFmtId="0" fontId="17" fillId="0" borderId="15" xfId="0" applyFont="1" applyFill="1" applyBorder="1" applyAlignment="1">
      <alignment horizontal="left" vertical="center" wrapText="1"/>
    </xf>
    <xf numFmtId="1" fontId="17" fillId="34" borderId="15" xfId="0" applyNumberFormat="1" applyFont="1" applyFill="1" applyBorder="1" applyAlignment="1">
      <alignment horizontal="center" vertical="center" wrapText="1"/>
    </xf>
    <xf numFmtId="49" fontId="17" fillId="34" borderId="15" xfId="0" applyNumberFormat="1" applyFont="1" applyFill="1" applyBorder="1" applyAlignment="1">
      <alignment horizontal="center" vertical="center" wrapText="1"/>
    </xf>
    <xf numFmtId="0" fontId="17" fillId="34" borderId="15" xfId="0" applyNumberFormat="1" applyFont="1" applyFill="1" applyBorder="1" applyAlignment="1">
      <alignment horizontal="justify" vertical="center" wrapText="1"/>
    </xf>
    <xf numFmtId="171" fontId="18" fillId="34" borderId="24" xfId="0" applyNumberFormat="1" applyFont="1" applyFill="1" applyBorder="1" applyAlignment="1">
      <alignment horizontal="right" vertical="center" wrapText="1"/>
    </xf>
    <xf numFmtId="0" fontId="86" fillId="34" borderId="0" xfId="0" applyFont="1" applyFill="1" applyAlignment="1">
      <alignment/>
    </xf>
    <xf numFmtId="171" fontId="86" fillId="34" borderId="0" xfId="0" applyNumberFormat="1" applyFont="1" applyFill="1" applyAlignment="1">
      <alignment/>
    </xf>
    <xf numFmtId="4" fontId="5" fillId="0" borderId="0" xfId="0" applyNumberFormat="1" applyFont="1" applyAlignment="1">
      <alignment vertical="center"/>
    </xf>
    <xf numFmtId="0" fontId="4" fillId="40" borderId="0" xfId="0" applyFont="1" applyFill="1" applyAlignment="1">
      <alignment/>
    </xf>
    <xf numFmtId="0" fontId="5" fillId="40" borderId="0" xfId="0" applyFont="1" applyFill="1" applyAlignment="1">
      <alignment/>
    </xf>
    <xf numFmtId="177" fontId="4" fillId="40" borderId="0" xfId="49" applyFont="1" applyFill="1" applyAlignment="1">
      <alignment/>
    </xf>
    <xf numFmtId="0" fontId="18" fillId="0" borderId="15" xfId="0" applyFont="1" applyBorder="1" applyAlignment="1">
      <alignment vertical="center" wrapText="1"/>
    </xf>
    <xf numFmtId="0" fontId="79" fillId="35" borderId="15" xfId="0" applyFont="1" applyFill="1" applyBorder="1" applyAlignment="1">
      <alignment horizontal="center" vertical="center" wrapText="1"/>
    </xf>
    <xf numFmtId="0" fontId="79" fillId="35" borderId="15" xfId="0" applyFont="1" applyFill="1" applyBorder="1" applyAlignment="1">
      <alignment vertical="center" wrapText="1"/>
    </xf>
    <xf numFmtId="4" fontId="79" fillId="35" borderId="15" xfId="0" applyNumberFormat="1" applyFont="1" applyFill="1" applyBorder="1" applyAlignment="1">
      <alignment horizontal="center" vertical="center" wrapText="1"/>
    </xf>
    <xf numFmtId="0" fontId="18" fillId="38" borderId="15" xfId="0" applyFont="1" applyFill="1" applyBorder="1" applyAlignment="1">
      <alignment horizontal="center" vertical="center" wrapText="1"/>
    </xf>
    <xf numFmtId="0" fontId="18" fillId="38" borderId="15" xfId="0" applyFont="1" applyFill="1" applyBorder="1" applyAlignment="1">
      <alignment vertical="center" wrapText="1"/>
    </xf>
    <xf numFmtId="4" fontId="18" fillId="38" borderId="15" xfId="0" applyNumberFormat="1" applyFont="1" applyFill="1" applyBorder="1" applyAlignment="1">
      <alignment horizontal="right" vertical="center" wrapText="1"/>
    </xf>
    <xf numFmtId="4" fontId="18" fillId="38" borderId="15" xfId="0" applyNumberFormat="1" applyFont="1" applyFill="1" applyBorder="1" applyAlignment="1">
      <alignment horizontal="center" vertical="center" wrapText="1"/>
    </xf>
    <xf numFmtId="0" fontId="18" fillId="37" borderId="15" xfId="0" applyFont="1" applyFill="1" applyBorder="1" applyAlignment="1">
      <alignment horizontal="center" vertical="center" wrapText="1"/>
    </xf>
    <xf numFmtId="4" fontId="18" fillId="37" borderId="15" xfId="0" applyNumberFormat="1" applyFont="1" applyFill="1" applyBorder="1" applyAlignment="1">
      <alignment horizontal="left" vertical="center" wrapText="1"/>
    </xf>
    <xf numFmtId="4" fontId="18" fillId="0" borderId="15" xfId="0" applyNumberFormat="1" applyFont="1" applyBorder="1" applyAlignment="1" applyProtection="1">
      <alignment horizontal="left" vertical="center" wrapText="1"/>
      <protection locked="0"/>
    </xf>
    <xf numFmtId="0" fontId="22" fillId="38" borderId="15" xfId="0" applyFont="1" applyFill="1" applyBorder="1" applyAlignment="1">
      <alignment vertical="center" wrapText="1"/>
    </xf>
    <xf numFmtId="0" fontId="17" fillId="38" borderId="15" xfId="0" applyFont="1" applyFill="1" applyBorder="1" applyAlignment="1">
      <alignment vertical="center" wrapText="1"/>
    </xf>
    <xf numFmtId="4" fontId="18" fillId="38" borderId="15" xfId="0" applyNumberFormat="1" applyFont="1" applyFill="1" applyBorder="1" applyAlignment="1" applyProtection="1">
      <alignment horizontal="right" vertical="center" wrapText="1"/>
      <protection locked="0"/>
    </xf>
    <xf numFmtId="0" fontId="18" fillId="0" borderId="15" xfId="0" applyFont="1" applyBorder="1" applyAlignment="1">
      <alignment horizontal="center" vertical="center" wrapText="1"/>
    </xf>
    <xf numFmtId="0" fontId="87" fillId="35" borderId="15" xfId="0" applyFont="1" applyFill="1" applyBorder="1" applyAlignment="1">
      <alignment horizontal="center" vertical="center" wrapText="1"/>
    </xf>
    <xf numFmtId="0" fontId="77" fillId="35" borderId="15" xfId="0" applyFont="1" applyFill="1" applyBorder="1" applyAlignment="1">
      <alignment horizontal="center" vertical="center" wrapText="1"/>
    </xf>
    <xf numFmtId="0" fontId="87" fillId="35" borderId="15" xfId="0" applyFont="1" applyFill="1" applyBorder="1" applyAlignment="1">
      <alignment vertical="center" wrapText="1"/>
    </xf>
    <xf numFmtId="4" fontId="77" fillId="35" borderId="15" xfId="0" applyNumberFormat="1" applyFont="1" applyFill="1" applyBorder="1" applyAlignment="1" applyProtection="1">
      <alignment horizontal="right" vertical="center" wrapText="1"/>
      <protection locked="0"/>
    </xf>
    <xf numFmtId="0" fontId="17" fillId="37" borderId="15" xfId="0" applyFont="1" applyFill="1" applyBorder="1" applyAlignment="1">
      <alignment vertical="center" wrapText="1"/>
    </xf>
    <xf numFmtId="49" fontId="17" fillId="37" borderId="15" xfId="0" applyNumberFormat="1" applyFont="1" applyFill="1" applyBorder="1" applyAlignment="1" applyProtection="1">
      <alignment horizontal="left" vertical="center" wrapText="1"/>
      <protection locked="0"/>
    </xf>
    <xf numFmtId="49" fontId="17" fillId="0" borderId="24" xfId="0" applyNumberFormat="1" applyFont="1" applyBorder="1" applyAlignment="1" applyProtection="1">
      <alignment horizontal="left" vertical="center" wrapText="1"/>
      <protection locked="0"/>
    </xf>
    <xf numFmtId="49" fontId="17" fillId="37" borderId="15" xfId="0" applyNumberFormat="1" applyFont="1" applyFill="1" applyBorder="1" applyAlignment="1">
      <alignment horizontal="justify" vertical="center" wrapText="1"/>
    </xf>
    <xf numFmtId="0" fontId="19" fillId="0" borderId="19" xfId="0" applyFont="1" applyFill="1" applyBorder="1" applyAlignment="1">
      <alignment vertical="center" wrapText="1"/>
    </xf>
    <xf numFmtId="0" fontId="20" fillId="0" borderId="19" xfId="0" applyFont="1" applyFill="1" applyBorder="1" applyAlignment="1">
      <alignment vertical="center" wrapText="1"/>
    </xf>
    <xf numFmtId="4" fontId="17" fillId="38" borderId="15" xfId="0" applyNumberFormat="1" applyFont="1" applyFill="1" applyBorder="1" applyAlignment="1">
      <alignment horizontal="center" vertical="center" wrapText="1"/>
    </xf>
    <xf numFmtId="49" fontId="17" fillId="38" borderId="15" xfId="0" applyNumberFormat="1" applyFont="1" applyFill="1" applyBorder="1" applyAlignment="1">
      <alignment horizontal="center" vertical="center" wrapText="1"/>
    </xf>
    <xf numFmtId="0" fontId="17" fillId="38" borderId="15" xfId="0" applyNumberFormat="1" applyFont="1" applyFill="1" applyBorder="1" applyAlignment="1">
      <alignment horizontal="justify" vertical="center" wrapText="1"/>
    </xf>
    <xf numFmtId="4" fontId="18" fillId="38" borderId="15" xfId="0" applyNumberFormat="1" applyFont="1" applyFill="1" applyBorder="1" applyAlignment="1">
      <alignment horizontal="right" vertical="center" wrapText="1"/>
    </xf>
    <xf numFmtId="0" fontId="17" fillId="34" borderId="15" xfId="0" applyFont="1" applyFill="1" applyBorder="1" applyAlignment="1">
      <alignment horizontal="center" vertical="center" wrapText="1"/>
    </xf>
    <xf numFmtId="171" fontId="18" fillId="34" borderId="15" xfId="0" applyNumberFormat="1" applyFont="1" applyFill="1" applyBorder="1" applyAlignment="1">
      <alignment horizontal="right" vertical="center" wrapText="1"/>
    </xf>
    <xf numFmtId="0" fontId="18" fillId="34" borderId="15" xfId="0" applyFont="1" applyFill="1" applyBorder="1" applyAlignment="1" applyProtection="1">
      <alignment horizontal="left" vertical="center" wrapText="1"/>
      <protection/>
    </xf>
    <xf numFmtId="0" fontId="20" fillId="37" borderId="19" xfId="0" applyFont="1" applyFill="1" applyBorder="1" applyAlignment="1">
      <alignment vertical="center" wrapText="1"/>
    </xf>
    <xf numFmtId="0" fontId="20" fillId="37" borderId="15" xfId="0" applyFont="1" applyFill="1" applyBorder="1" applyAlignment="1">
      <alignment vertical="center" wrapText="1"/>
    </xf>
    <xf numFmtId="4" fontId="20" fillId="37" borderId="24" xfId="49" applyNumberFormat="1" applyFont="1" applyFill="1" applyBorder="1" applyAlignment="1">
      <alignment vertical="center"/>
    </xf>
    <xf numFmtId="4" fontId="17" fillId="34" borderId="15" xfId="0" applyNumberFormat="1" applyFont="1" applyFill="1" applyBorder="1" applyAlignment="1" applyProtection="1">
      <alignment horizontal="right" vertical="center" wrapText="1"/>
      <protection locked="0"/>
    </xf>
    <xf numFmtId="175" fontId="17" fillId="0" borderId="0" xfId="50" applyFont="1" applyAlignment="1">
      <alignment vertical="center" wrapText="1"/>
    </xf>
    <xf numFmtId="171" fontId="17" fillId="34" borderId="14" xfId="0" applyNumberFormat="1" applyFont="1" applyFill="1" applyBorder="1" applyAlignment="1">
      <alignment horizontal="right" vertical="center" wrapText="1"/>
    </xf>
    <xf numFmtId="0" fontId="20" fillId="37" borderId="15" xfId="0" applyFont="1" applyFill="1" applyBorder="1" applyAlignment="1">
      <alignment horizontal="left" vertical="center" wrapText="1"/>
    </xf>
    <xf numFmtId="4" fontId="20" fillId="37" borderId="15" xfId="49" applyNumberFormat="1" applyFont="1" applyFill="1" applyBorder="1" applyAlignment="1">
      <alignment horizontal="right" vertical="center" wrapText="1"/>
    </xf>
    <xf numFmtId="4" fontId="20" fillId="0" borderId="0" xfId="0" applyNumberFormat="1" applyFont="1" applyFill="1" applyAlignment="1">
      <alignment vertical="center" wrapText="1"/>
    </xf>
    <xf numFmtId="0" fontId="5" fillId="0" borderId="0" xfId="0" applyFont="1" applyFill="1" applyAlignment="1">
      <alignment horizontal="left" vertical="top" wrapText="1"/>
    </xf>
    <xf numFmtId="43" fontId="5" fillId="0" borderId="0" xfId="0" applyNumberFormat="1" applyFont="1" applyAlignment="1">
      <alignment/>
    </xf>
    <xf numFmtId="0" fontId="88" fillId="35" borderId="28" xfId="0" applyFont="1" applyFill="1" applyBorder="1" applyAlignment="1">
      <alignment horizontal="center"/>
    </xf>
    <xf numFmtId="4" fontId="0" fillId="0" borderId="15" xfId="0" applyNumberFormat="1" applyFont="1" applyBorder="1" applyAlignment="1">
      <alignment vertical="center"/>
    </xf>
    <xf numFmtId="49" fontId="17" fillId="38" borderId="15" xfId="0" applyNumberFormat="1" applyFont="1" applyFill="1" applyBorder="1" applyAlignment="1">
      <alignment horizontal="justify" vertical="center" wrapText="1"/>
    </xf>
    <xf numFmtId="0" fontId="76" fillId="35" borderId="16" xfId="0" applyFont="1" applyFill="1" applyBorder="1" applyAlignment="1">
      <alignment horizontal="center" vertical="center"/>
    </xf>
    <xf numFmtId="0" fontId="76" fillId="35" borderId="17" xfId="0" applyFont="1" applyFill="1" applyBorder="1" applyAlignment="1">
      <alignment horizontal="center"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0" xfId="0" applyFont="1" applyAlignment="1">
      <alignment horizontal="center" vertical="center"/>
    </xf>
    <xf numFmtId="4" fontId="20" fillId="34" borderId="0" xfId="0" applyNumberFormat="1" applyFont="1" applyFill="1" applyAlignment="1">
      <alignment horizontal="left" vertical="center" wrapText="1"/>
    </xf>
    <xf numFmtId="0" fontId="17" fillId="34" borderId="33" xfId="0" applyFont="1" applyFill="1" applyBorder="1" applyAlignment="1" applyProtection="1">
      <alignment horizontal="left" vertical="center" wrapText="1"/>
      <protection/>
    </xf>
    <xf numFmtId="0" fontId="17" fillId="34" borderId="35" xfId="0" applyFont="1" applyFill="1" applyBorder="1" applyAlignment="1" applyProtection="1">
      <alignment horizontal="left" vertical="center" wrapText="1"/>
      <protection/>
    </xf>
    <xf numFmtId="0" fontId="17" fillId="34" borderId="15" xfId="0" applyFont="1" applyFill="1" applyBorder="1" applyAlignment="1" applyProtection="1">
      <alignment horizontal="left" vertical="center" wrapText="1"/>
      <protection/>
    </xf>
    <xf numFmtId="4" fontId="76" fillId="35" borderId="16" xfId="0" applyNumberFormat="1" applyFont="1" applyFill="1" applyBorder="1" applyAlignment="1">
      <alignment horizontal="right" vertical="center" wrapText="1"/>
    </xf>
    <xf numFmtId="0" fontId="76" fillId="35" borderId="17" xfId="0" applyFont="1" applyFill="1" applyBorder="1" applyAlignment="1">
      <alignment horizontal="right" vertical="center" wrapText="1"/>
    </xf>
    <xf numFmtId="4" fontId="17" fillId="34" borderId="15" xfId="0" applyNumberFormat="1" applyFont="1" applyFill="1" applyBorder="1" applyAlignment="1" applyProtection="1">
      <alignment horizontal="right" vertical="center" wrapText="1"/>
      <protection locked="0"/>
    </xf>
    <xf numFmtId="0" fontId="76" fillId="35" borderId="15" xfId="0" applyFont="1" applyFill="1" applyBorder="1" applyAlignment="1">
      <alignment horizontal="center" vertical="center" wrapText="1"/>
    </xf>
    <xf numFmtId="0" fontId="19" fillId="0" borderId="0" xfId="0" applyFont="1" applyAlignment="1">
      <alignment horizontal="center" vertical="center" wrapText="1"/>
    </xf>
    <xf numFmtId="0" fontId="20" fillId="0" borderId="16" xfId="0" applyFont="1" applyFill="1" applyBorder="1" applyAlignment="1">
      <alignment horizontal="justify" vertical="center" wrapText="1"/>
    </xf>
    <xf numFmtId="0" fontId="20" fillId="0" borderId="32"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76" fillId="35" borderId="16" xfId="0" applyFont="1" applyFill="1" applyBorder="1" applyAlignment="1">
      <alignment horizontal="left" vertical="center" wrapText="1"/>
    </xf>
    <xf numFmtId="0" fontId="76" fillId="35" borderId="32" xfId="0" applyFont="1" applyFill="1" applyBorder="1" applyAlignment="1">
      <alignment horizontal="left" vertical="center" wrapText="1"/>
    </xf>
    <xf numFmtId="0" fontId="76" fillId="35" borderId="17" xfId="0" applyFont="1" applyFill="1" applyBorder="1" applyAlignment="1">
      <alignment horizontal="left" vertical="center" wrapText="1"/>
    </xf>
    <xf numFmtId="0" fontId="20" fillId="0" borderId="0" xfId="0" applyFont="1" applyFill="1" applyBorder="1" applyAlignment="1">
      <alignment horizontal="justify" vertical="center" wrapText="1"/>
    </xf>
    <xf numFmtId="0" fontId="20" fillId="37" borderId="16" xfId="0" applyFont="1" applyFill="1" applyBorder="1" applyAlignment="1">
      <alignment horizontal="left" vertical="center" wrapText="1"/>
    </xf>
    <xf numFmtId="0" fontId="20" fillId="37" borderId="32" xfId="0" applyFont="1" applyFill="1" applyBorder="1" applyAlignment="1">
      <alignment horizontal="left" vertical="center" wrapText="1"/>
    </xf>
    <xf numFmtId="0" fontId="20" fillId="37" borderId="17" xfId="0" applyFont="1" applyFill="1" applyBorder="1" applyAlignment="1">
      <alignment horizontal="left" vertical="center" wrapText="1"/>
    </xf>
    <xf numFmtId="177" fontId="17" fillId="37" borderId="16" xfId="49" applyFont="1" applyFill="1" applyBorder="1" applyAlignment="1">
      <alignment horizontal="center" vertical="center" wrapText="1"/>
    </xf>
    <xf numFmtId="177" fontId="17" fillId="37" borderId="17" xfId="49" applyFont="1" applyFill="1" applyBorder="1" applyAlignment="1">
      <alignment horizontal="center" vertical="center" wrapText="1"/>
    </xf>
    <xf numFmtId="0" fontId="84" fillId="41" borderId="15" xfId="0" applyFont="1" applyFill="1" applyBorder="1" applyAlignment="1">
      <alignment horizontal="center" vertical="center" wrapText="1"/>
    </xf>
    <xf numFmtId="4" fontId="84" fillId="41" borderId="16" xfId="0" applyNumberFormat="1" applyFont="1" applyFill="1" applyBorder="1" applyAlignment="1">
      <alignment horizontal="right" vertical="center" wrapText="1"/>
    </xf>
    <xf numFmtId="0" fontId="84" fillId="41" borderId="17" xfId="0" applyFont="1" applyFill="1" applyBorder="1" applyAlignment="1">
      <alignment horizontal="right" vertical="center" wrapText="1"/>
    </xf>
    <xf numFmtId="4" fontId="20" fillId="37" borderId="16" xfId="49" applyNumberFormat="1" applyFont="1" applyFill="1" applyBorder="1" applyAlignment="1">
      <alignment horizontal="right" vertical="center" wrapText="1"/>
    </xf>
    <xf numFmtId="4" fontId="20" fillId="37" borderId="17" xfId="49" applyNumberFormat="1" applyFont="1" applyFill="1" applyBorder="1" applyAlignment="1">
      <alignment horizontal="right" vertical="center" wrapText="1"/>
    </xf>
    <xf numFmtId="4" fontId="20" fillId="34" borderId="16" xfId="49" applyNumberFormat="1" applyFont="1" applyFill="1" applyBorder="1" applyAlignment="1">
      <alignment horizontal="right" vertical="center" wrapText="1"/>
    </xf>
    <xf numFmtId="4" fontId="20" fillId="34" borderId="17" xfId="49" applyNumberFormat="1" applyFont="1" applyFill="1" applyBorder="1" applyAlignment="1">
      <alignment horizontal="right" vertical="center" wrapText="1"/>
    </xf>
    <xf numFmtId="171" fontId="84" fillId="41" borderId="15" xfId="0" applyNumberFormat="1" applyFont="1" applyFill="1" applyBorder="1" applyAlignment="1">
      <alignment horizontal="center" vertical="center" wrapText="1"/>
    </xf>
    <xf numFmtId="0" fontId="84" fillId="41" borderId="16" xfId="0" applyFont="1" applyFill="1" applyBorder="1" applyAlignment="1">
      <alignment horizontal="center" vertical="center" wrapText="1"/>
    </xf>
    <xf numFmtId="0" fontId="84" fillId="41" borderId="32" xfId="0" applyFont="1" applyFill="1" applyBorder="1" applyAlignment="1">
      <alignment horizontal="center" vertical="center" wrapText="1"/>
    </xf>
    <xf numFmtId="0" fontId="84" fillId="41" borderId="17" xfId="0" applyFont="1" applyFill="1" applyBorder="1" applyAlignment="1">
      <alignment horizontal="center" vertical="center" wrapText="1"/>
    </xf>
    <xf numFmtId="0" fontId="5" fillId="0" borderId="0" xfId="0" applyFont="1" applyFill="1" applyAlignment="1">
      <alignment horizontal="justify" vertical="center" wrapText="1"/>
    </xf>
    <xf numFmtId="177" fontId="17" fillId="0" borderId="16" xfId="49" applyFont="1" applyBorder="1" applyAlignment="1">
      <alignment horizontal="center" vertical="center" wrapText="1"/>
    </xf>
    <xf numFmtId="177" fontId="17" fillId="0" borderId="17" xfId="49" applyFont="1" applyBorder="1" applyAlignment="1">
      <alignment horizontal="center" vertical="center" wrapText="1"/>
    </xf>
    <xf numFmtId="0" fontId="20" fillId="34" borderId="16" xfId="0" applyFont="1" applyFill="1" applyBorder="1" applyAlignment="1">
      <alignment horizontal="left" vertical="center" wrapText="1"/>
    </xf>
    <xf numFmtId="0" fontId="20" fillId="34" borderId="32" xfId="0" applyFont="1" applyFill="1" applyBorder="1" applyAlignment="1">
      <alignment horizontal="left" vertical="center" wrapText="1"/>
    </xf>
    <xf numFmtId="0" fontId="20" fillId="34" borderId="17" xfId="0" applyFont="1" applyFill="1" applyBorder="1" applyAlignment="1">
      <alignment horizontal="left" vertical="center" wrapText="1"/>
    </xf>
    <xf numFmtId="49" fontId="17" fillId="37" borderId="16" xfId="0" applyNumberFormat="1" applyFont="1" applyFill="1" applyBorder="1" applyAlignment="1" applyProtection="1">
      <alignment horizontal="left" vertical="center" wrapText="1"/>
      <protection locked="0"/>
    </xf>
    <xf numFmtId="49" fontId="17" fillId="37" borderId="32" xfId="0" applyNumberFormat="1" applyFont="1" applyFill="1" applyBorder="1" applyAlignment="1" applyProtection="1">
      <alignment horizontal="left" vertical="center" wrapText="1"/>
      <protection locked="0"/>
    </xf>
    <xf numFmtId="49" fontId="17" fillId="37" borderId="17" xfId="0" applyNumberFormat="1" applyFont="1" applyFill="1" applyBorder="1" applyAlignment="1" applyProtection="1">
      <alignment horizontal="left" vertical="center" wrapText="1"/>
      <protection locked="0"/>
    </xf>
    <xf numFmtId="171" fontId="84" fillId="41" borderId="16" xfId="0" applyNumberFormat="1" applyFont="1" applyFill="1" applyBorder="1" applyAlignment="1">
      <alignment horizontal="center" vertical="center" wrapText="1"/>
    </xf>
    <xf numFmtId="0" fontId="4" fillId="0" borderId="0" xfId="0" applyFont="1" applyAlignment="1">
      <alignment horizontal="center"/>
    </xf>
    <xf numFmtId="0" fontId="84" fillId="41" borderId="0" xfId="0" applyFont="1" applyFill="1" applyAlignment="1">
      <alignment horizontal="center" vertical="center" wrapText="1"/>
    </xf>
    <xf numFmtId="0" fontId="20" fillId="34" borderId="38" xfId="0" applyFont="1" applyFill="1" applyBorder="1" applyAlignment="1">
      <alignment horizontal="left" vertical="center" wrapText="1"/>
    </xf>
    <xf numFmtId="171" fontId="5" fillId="37" borderId="39" xfId="0" applyNumberFormat="1" applyFont="1" applyFill="1" applyBorder="1" applyAlignment="1">
      <alignment horizontal="center" vertical="center" wrapText="1"/>
    </xf>
    <xf numFmtId="171" fontId="5" fillId="37" borderId="17" xfId="0" applyNumberFormat="1" applyFont="1" applyFill="1" applyBorder="1" applyAlignment="1">
      <alignment horizontal="center" vertical="center" wrapText="1"/>
    </xf>
    <xf numFmtId="0" fontId="4" fillId="33" borderId="0" xfId="0" applyFont="1" applyFill="1" applyAlignment="1">
      <alignment horizontal="left" vertical="center" wrapText="1"/>
    </xf>
    <xf numFmtId="0" fontId="20" fillId="37" borderId="38" xfId="0" applyFont="1" applyFill="1" applyBorder="1" applyAlignment="1">
      <alignment horizontal="left" vertical="center" wrapText="1"/>
    </xf>
    <xf numFmtId="171" fontId="20" fillId="37" borderId="39" xfId="0" applyNumberFormat="1" applyFont="1" applyFill="1" applyBorder="1" applyAlignment="1">
      <alignment horizontal="center" vertical="center" wrapText="1"/>
    </xf>
    <xf numFmtId="171" fontId="20" fillId="37" borderId="17" xfId="0" applyNumberFormat="1" applyFont="1" applyFill="1" applyBorder="1" applyAlignment="1">
      <alignment horizontal="center" vertical="center" wrapText="1"/>
    </xf>
    <xf numFmtId="0" fontId="5" fillId="0" borderId="0" xfId="0" applyFont="1" applyFill="1" applyAlignment="1">
      <alignment horizontal="left" vertical="center" wrapText="1"/>
    </xf>
    <xf numFmtId="49" fontId="17" fillId="34" borderId="16" xfId="0" applyNumberFormat="1" applyFont="1" applyFill="1" applyBorder="1" applyAlignment="1" applyProtection="1">
      <alignment horizontal="left" vertical="center" wrapText="1"/>
      <protection locked="0"/>
    </xf>
    <xf numFmtId="49" fontId="17" fillId="34" borderId="32" xfId="0" applyNumberFormat="1" applyFont="1" applyFill="1" applyBorder="1" applyAlignment="1" applyProtection="1">
      <alignment horizontal="left" vertical="center" wrapText="1"/>
      <protection locked="0"/>
    </xf>
    <xf numFmtId="49" fontId="17" fillId="34" borderId="17" xfId="0" applyNumberFormat="1" applyFont="1" applyFill="1" applyBorder="1" applyAlignment="1" applyProtection="1">
      <alignment horizontal="left" vertical="center" wrapText="1"/>
      <protection locked="0"/>
    </xf>
    <xf numFmtId="0" fontId="20" fillId="34" borderId="15" xfId="0" applyFont="1" applyFill="1" applyBorder="1" applyAlignment="1">
      <alignment horizontal="left" vertical="center" wrapText="1"/>
    </xf>
    <xf numFmtId="4" fontId="5" fillId="34" borderId="15" xfId="49" applyNumberFormat="1" applyFont="1" applyFill="1" applyBorder="1" applyAlignment="1">
      <alignment horizontal="right" vertical="center" wrapText="1"/>
    </xf>
    <xf numFmtId="49" fontId="17" fillId="0" borderId="16" xfId="0" applyNumberFormat="1" applyFont="1" applyBorder="1" applyAlignment="1" applyProtection="1">
      <alignment horizontal="left" vertical="center" wrapText="1"/>
      <protection locked="0"/>
    </xf>
    <xf numFmtId="49" fontId="17" fillId="0" borderId="32" xfId="0" applyNumberFormat="1" applyFont="1" applyBorder="1" applyAlignment="1" applyProtection="1">
      <alignment horizontal="left" vertical="center" wrapText="1"/>
      <protection locked="0"/>
    </xf>
    <xf numFmtId="49" fontId="17" fillId="0" borderId="17" xfId="0" applyNumberFormat="1" applyFont="1" applyBorder="1" applyAlignment="1" applyProtection="1">
      <alignment horizontal="left" vertical="center" wrapText="1"/>
      <protection locked="0"/>
    </xf>
    <xf numFmtId="4" fontId="20" fillId="40" borderId="16" xfId="49" applyNumberFormat="1" applyFont="1" applyFill="1" applyBorder="1" applyAlignment="1">
      <alignment horizontal="right" vertical="center" wrapText="1"/>
    </xf>
    <xf numFmtId="4" fontId="20" fillId="40" borderId="17" xfId="49" applyNumberFormat="1" applyFont="1" applyFill="1" applyBorder="1" applyAlignment="1">
      <alignment horizontal="right" vertical="center" wrapText="1"/>
    </xf>
    <xf numFmtId="171" fontId="20" fillId="34" borderId="39" xfId="0" applyNumberFormat="1" applyFont="1" applyFill="1" applyBorder="1" applyAlignment="1">
      <alignment horizontal="center" vertical="center" wrapText="1"/>
    </xf>
    <xf numFmtId="171" fontId="20" fillId="34" borderId="17" xfId="0" applyNumberFormat="1" applyFont="1" applyFill="1" applyBorder="1" applyAlignment="1">
      <alignment horizontal="center" vertical="center" wrapText="1"/>
    </xf>
    <xf numFmtId="171" fontId="5" fillId="34" borderId="39" xfId="0" applyNumberFormat="1" applyFont="1" applyFill="1" applyBorder="1" applyAlignment="1">
      <alignment horizontal="center" vertical="center" wrapText="1"/>
    </xf>
    <xf numFmtId="171" fontId="5" fillId="34" borderId="17" xfId="0" applyNumberFormat="1" applyFont="1" applyFill="1" applyBorder="1" applyAlignment="1">
      <alignment horizontal="center" vertical="center" wrapText="1"/>
    </xf>
    <xf numFmtId="0" fontId="5" fillId="0" borderId="0" xfId="0" applyFont="1" applyFill="1" applyAlignment="1">
      <alignment horizontal="left" vertical="top" wrapText="1"/>
    </xf>
    <xf numFmtId="4" fontId="20" fillId="34" borderId="16" xfId="49" applyNumberFormat="1" applyFont="1" applyFill="1" applyBorder="1" applyAlignment="1">
      <alignment horizontal="right" vertical="center"/>
    </xf>
    <xf numFmtId="4" fontId="20" fillId="34" borderId="17" xfId="49" applyNumberFormat="1" applyFont="1" applyFill="1" applyBorder="1" applyAlignment="1">
      <alignment horizontal="right" vertical="center"/>
    </xf>
    <xf numFmtId="4" fontId="20" fillId="37" borderId="16" xfId="49" applyNumberFormat="1" applyFont="1" applyFill="1" applyBorder="1" applyAlignment="1">
      <alignment horizontal="right" vertical="center"/>
    </xf>
    <xf numFmtId="4" fontId="20" fillId="37" borderId="17" xfId="49" applyNumberFormat="1" applyFont="1" applyFill="1" applyBorder="1" applyAlignment="1">
      <alignment horizontal="right" vertical="center"/>
    </xf>
    <xf numFmtId="49" fontId="16" fillId="0" borderId="0" xfId="0" applyNumberFormat="1" applyFont="1" applyFill="1" applyBorder="1" applyAlignment="1">
      <alignment horizontal="center" vertical="center" wrapText="1"/>
    </xf>
    <xf numFmtId="49" fontId="76" fillId="35" borderId="40" xfId="0" applyNumberFormat="1" applyFont="1" applyFill="1" applyBorder="1" applyAlignment="1">
      <alignment horizontal="center" vertical="center" wrapText="1"/>
    </xf>
    <xf numFmtId="49" fontId="76" fillId="35" borderId="4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xf>
    <xf numFmtId="49" fontId="77" fillId="35" borderId="40" xfId="0" applyNumberFormat="1" applyFont="1" applyFill="1" applyBorder="1" applyAlignment="1">
      <alignment horizontal="center" vertical="center"/>
    </xf>
    <xf numFmtId="49" fontId="77" fillId="35" borderId="41"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49" fontId="76" fillId="35" borderId="25" xfId="0" applyNumberFormat="1" applyFont="1" applyFill="1" applyBorder="1" applyAlignment="1">
      <alignment horizontal="center" vertical="center" wrapText="1"/>
    </xf>
    <xf numFmtId="49" fontId="76" fillId="35" borderId="27"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79" fillId="35" borderId="15" xfId="0" applyNumberFormat="1" applyFont="1" applyFill="1" applyBorder="1" applyAlignment="1">
      <alignment horizontal="center" vertical="center" wrapText="1"/>
    </xf>
    <xf numFmtId="0" fontId="18" fillId="0" borderId="0" xfId="0" applyFont="1" applyAlignment="1">
      <alignment horizontal="center" vertical="center"/>
    </xf>
    <xf numFmtId="0" fontId="18" fillId="0" borderId="0" xfId="0" applyNumberFormat="1" applyFont="1" applyAlignment="1">
      <alignment horizontal="center" vertical="center"/>
    </xf>
    <xf numFmtId="0" fontId="18" fillId="0" borderId="0" xfId="0" applyFont="1" applyBorder="1" applyAlignment="1">
      <alignment horizontal="center" vertical="center"/>
    </xf>
    <xf numFmtId="0" fontId="1" fillId="0" borderId="0" xfId="0" applyFont="1" applyAlignment="1">
      <alignment horizontal="center"/>
    </xf>
    <xf numFmtId="49" fontId="1" fillId="0" borderId="0" xfId="0" applyNumberFormat="1" applyFont="1" applyAlignment="1">
      <alignment horizontal="center"/>
    </xf>
    <xf numFmtId="0" fontId="18" fillId="0" borderId="0" xfId="0" applyFont="1" applyAlignment="1">
      <alignment horizontal="center"/>
    </xf>
    <xf numFmtId="49" fontId="18" fillId="0" borderId="0" xfId="0" applyNumberFormat="1" applyFont="1" applyAlignment="1">
      <alignment horizontal="center"/>
    </xf>
    <xf numFmtId="0" fontId="14"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15" xfId="0" applyFont="1" applyBorder="1" applyAlignment="1">
      <alignment vertical="center"/>
    </xf>
    <xf numFmtId="0" fontId="0" fillId="0" borderId="26" xfId="0" applyFont="1" applyBorder="1" applyAlignment="1">
      <alignment/>
    </xf>
    <xf numFmtId="0" fontId="88" fillId="35" borderId="30" xfId="0" applyFont="1" applyFill="1" applyBorder="1" applyAlignment="1">
      <alignment horizontal="center"/>
    </xf>
    <xf numFmtId="0" fontId="88" fillId="35" borderId="28" xfId="0" applyFont="1" applyFill="1" applyBorder="1" applyAlignment="1">
      <alignment horizontal="center"/>
    </xf>
    <xf numFmtId="0" fontId="1" fillId="0" borderId="0" xfId="0" applyFont="1" applyAlignment="1">
      <alignment/>
    </xf>
    <xf numFmtId="0" fontId="84" fillId="35" borderId="25" xfId="0" applyFont="1" applyFill="1" applyBorder="1" applyAlignment="1">
      <alignment wrapText="1"/>
    </xf>
    <xf numFmtId="0" fontId="89" fillId="35" borderId="27" xfId="0" applyFont="1" applyFill="1" applyBorder="1" applyAlignment="1">
      <alignment wrapText="1"/>
    </xf>
    <xf numFmtId="0" fontId="83" fillId="35" borderId="25" xfId="0" applyFont="1" applyFill="1" applyBorder="1" applyAlignment="1">
      <alignment/>
    </xf>
    <xf numFmtId="0" fontId="83" fillId="35" borderId="27" xfId="0" applyFont="1" applyFill="1" applyBorder="1" applyAlignment="1">
      <alignment/>
    </xf>
    <xf numFmtId="0" fontId="0" fillId="0" borderId="31" xfId="0" applyFont="1" applyBorder="1" applyAlignment="1">
      <alignment/>
    </xf>
    <xf numFmtId="0" fontId="18" fillId="0" borderId="0" xfId="0" applyFont="1" applyAlignment="1">
      <alignment horizontal="lef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79" fillId="35" borderId="18" xfId="0" applyFont="1" applyFill="1" applyBorder="1" applyAlignment="1">
      <alignment horizontal="center" vertical="center" wrapText="1"/>
    </xf>
    <xf numFmtId="0" fontId="79" fillId="35" borderId="42" xfId="0" applyFont="1" applyFill="1" applyBorder="1" applyAlignment="1">
      <alignment horizontal="center" vertical="center" wrapText="1"/>
    </xf>
    <xf numFmtId="4" fontId="79" fillId="35" borderId="18" xfId="0" applyNumberFormat="1" applyFont="1" applyFill="1" applyBorder="1" applyAlignment="1">
      <alignment horizontal="center" vertical="center" wrapText="1"/>
    </xf>
    <xf numFmtId="4" fontId="79" fillId="35" borderId="42" xfId="0" applyNumberFormat="1" applyFont="1" applyFill="1" applyBorder="1" applyAlignment="1">
      <alignment horizontal="center" vertical="center" wrapText="1"/>
    </xf>
    <xf numFmtId="0" fontId="18" fillId="0" borderId="34" xfId="0" applyFont="1" applyBorder="1" applyAlignment="1">
      <alignment horizontal="center" vertical="center" wrapText="1"/>
    </xf>
    <xf numFmtId="0" fontId="79" fillId="35" borderId="43" xfId="0" applyFont="1" applyFill="1" applyBorder="1" applyAlignment="1">
      <alignment horizontal="center" vertical="center" wrapText="1"/>
    </xf>
    <xf numFmtId="0" fontId="79" fillId="35" borderId="44" xfId="0" applyFont="1" applyFill="1" applyBorder="1" applyAlignment="1">
      <alignment horizontal="center" vertical="center" wrapText="1"/>
    </xf>
    <xf numFmtId="0" fontId="17" fillId="42" borderId="40" xfId="0" applyFont="1" applyFill="1" applyBorder="1" applyAlignment="1">
      <alignment horizontal="justify" vertical="center" wrapText="1"/>
    </xf>
    <xf numFmtId="0" fontId="17" fillId="42" borderId="45" xfId="0" applyFont="1" applyFill="1" applyBorder="1" applyAlignment="1">
      <alignment horizontal="justify" vertical="center" wrapText="1"/>
    </xf>
    <xf numFmtId="0" fontId="17" fillId="42" borderId="41" xfId="0" applyFont="1" applyFill="1" applyBorder="1" applyAlignment="1">
      <alignment horizontal="justify" vertical="center" wrapText="1"/>
    </xf>
    <xf numFmtId="0" fontId="90" fillId="41"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123825</xdr:rowOff>
    </xdr:from>
    <xdr:to>
      <xdr:col>3</xdr:col>
      <xdr:colOff>533400</xdr:colOff>
      <xdr:row>2</xdr:row>
      <xdr:rowOff>190500</xdr:rowOff>
    </xdr:to>
    <xdr:pic>
      <xdr:nvPicPr>
        <xdr:cNvPr id="1" name="2 Imagen"/>
        <xdr:cNvPicPr preferRelativeResize="1">
          <a:picLocks noChangeAspect="1"/>
        </xdr:cNvPicPr>
      </xdr:nvPicPr>
      <xdr:blipFill>
        <a:blip r:embed="rId1"/>
        <a:stretch>
          <a:fillRect/>
        </a:stretch>
      </xdr:blipFill>
      <xdr:spPr>
        <a:xfrm>
          <a:off x="5753100" y="123825"/>
          <a:ext cx="16668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0</xdr:row>
      <xdr:rowOff>123825</xdr:rowOff>
    </xdr:from>
    <xdr:to>
      <xdr:col>5</xdr:col>
      <xdr:colOff>1552575</xdr:colOff>
      <xdr:row>2</xdr:row>
      <xdr:rowOff>104775</xdr:rowOff>
    </xdr:to>
    <xdr:pic>
      <xdr:nvPicPr>
        <xdr:cNvPr id="1" name="2 Imagen"/>
        <xdr:cNvPicPr preferRelativeResize="1">
          <a:picLocks noChangeAspect="1"/>
        </xdr:cNvPicPr>
      </xdr:nvPicPr>
      <xdr:blipFill>
        <a:blip r:embed="rId1"/>
        <a:stretch>
          <a:fillRect/>
        </a:stretch>
      </xdr:blipFill>
      <xdr:spPr>
        <a:xfrm>
          <a:off x="7343775" y="123825"/>
          <a:ext cx="143827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1885950</xdr:colOff>
      <xdr:row>0</xdr:row>
      <xdr:rowOff>180975</xdr:rowOff>
    </xdr:from>
    <xdr:to>
      <xdr:col>7</xdr:col>
      <xdr:colOff>1181100</xdr:colOff>
      <xdr:row>3</xdr:row>
      <xdr:rowOff>85725</xdr:rowOff>
    </xdr:to>
    <xdr:pic>
      <xdr:nvPicPr>
        <xdr:cNvPr id="1" name="1 Imagen"/>
        <xdr:cNvPicPr preferRelativeResize="1">
          <a:picLocks noChangeAspect="1"/>
        </xdr:cNvPicPr>
      </xdr:nvPicPr>
      <xdr:blipFill>
        <a:blip r:embed="rId1"/>
        <a:stretch>
          <a:fillRect/>
        </a:stretch>
      </xdr:blipFill>
      <xdr:spPr>
        <a:xfrm>
          <a:off x="8772525" y="180975"/>
          <a:ext cx="1438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409575</xdr:colOff>
      <xdr:row>0</xdr:row>
      <xdr:rowOff>66675</xdr:rowOff>
    </xdr:from>
    <xdr:to>
      <xdr:col>5</xdr:col>
      <xdr:colOff>771525</xdr:colOff>
      <xdr:row>2</xdr:row>
      <xdr:rowOff>142875</xdr:rowOff>
    </xdr:to>
    <xdr:pic>
      <xdr:nvPicPr>
        <xdr:cNvPr id="1" name="1 Imagen"/>
        <xdr:cNvPicPr preferRelativeResize="1">
          <a:picLocks noChangeAspect="1"/>
        </xdr:cNvPicPr>
      </xdr:nvPicPr>
      <xdr:blipFill>
        <a:blip r:embed="rId1"/>
        <a:stretch>
          <a:fillRect/>
        </a:stretch>
      </xdr:blipFill>
      <xdr:spPr>
        <a:xfrm>
          <a:off x="6210300" y="66675"/>
          <a:ext cx="14382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2686050</xdr:colOff>
      <xdr:row>0</xdr:row>
      <xdr:rowOff>57150</xdr:rowOff>
    </xdr:from>
    <xdr:to>
      <xdr:col>3</xdr:col>
      <xdr:colOff>4124325</xdr:colOff>
      <xdr:row>2</xdr:row>
      <xdr:rowOff>76200</xdr:rowOff>
    </xdr:to>
    <xdr:pic>
      <xdr:nvPicPr>
        <xdr:cNvPr id="1" name="1 Imagen"/>
        <xdr:cNvPicPr preferRelativeResize="1">
          <a:picLocks noChangeAspect="1"/>
        </xdr:cNvPicPr>
      </xdr:nvPicPr>
      <xdr:blipFill>
        <a:blip r:embed="rId1"/>
        <a:stretch>
          <a:fillRect/>
        </a:stretch>
      </xdr:blipFill>
      <xdr:spPr>
        <a:xfrm>
          <a:off x="8267700" y="57150"/>
          <a:ext cx="14382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2362200</xdr:colOff>
      <xdr:row>0</xdr:row>
      <xdr:rowOff>76200</xdr:rowOff>
    </xdr:from>
    <xdr:to>
      <xdr:col>3</xdr:col>
      <xdr:colOff>3800475</xdr:colOff>
      <xdr:row>2</xdr:row>
      <xdr:rowOff>85725</xdr:rowOff>
    </xdr:to>
    <xdr:pic>
      <xdr:nvPicPr>
        <xdr:cNvPr id="1" name="1 Imagen"/>
        <xdr:cNvPicPr preferRelativeResize="1">
          <a:picLocks noChangeAspect="1"/>
        </xdr:cNvPicPr>
      </xdr:nvPicPr>
      <xdr:blipFill>
        <a:blip r:embed="rId1"/>
        <a:stretch>
          <a:fillRect/>
        </a:stretch>
      </xdr:blipFill>
      <xdr:spPr>
        <a:xfrm>
          <a:off x="8286750" y="76200"/>
          <a:ext cx="143827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2219325</xdr:colOff>
      <xdr:row>0</xdr:row>
      <xdr:rowOff>123825</xdr:rowOff>
    </xdr:from>
    <xdr:to>
      <xdr:col>3</xdr:col>
      <xdr:colOff>3657600</xdr:colOff>
      <xdr:row>2</xdr:row>
      <xdr:rowOff>38100</xdr:rowOff>
    </xdr:to>
    <xdr:pic>
      <xdr:nvPicPr>
        <xdr:cNvPr id="1" name="1 Imagen"/>
        <xdr:cNvPicPr preferRelativeResize="1">
          <a:picLocks noChangeAspect="1"/>
        </xdr:cNvPicPr>
      </xdr:nvPicPr>
      <xdr:blipFill>
        <a:blip r:embed="rId1"/>
        <a:stretch>
          <a:fillRect/>
        </a:stretch>
      </xdr:blipFill>
      <xdr:spPr>
        <a:xfrm>
          <a:off x="8667750" y="123825"/>
          <a:ext cx="14382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1724025</xdr:colOff>
      <xdr:row>0</xdr:row>
      <xdr:rowOff>95250</xdr:rowOff>
    </xdr:from>
    <xdr:to>
      <xdr:col>3</xdr:col>
      <xdr:colOff>3162300</xdr:colOff>
      <xdr:row>2</xdr:row>
      <xdr:rowOff>76200</xdr:rowOff>
    </xdr:to>
    <xdr:pic>
      <xdr:nvPicPr>
        <xdr:cNvPr id="1" name="1 Imagen"/>
        <xdr:cNvPicPr preferRelativeResize="1">
          <a:picLocks noChangeAspect="1"/>
        </xdr:cNvPicPr>
      </xdr:nvPicPr>
      <xdr:blipFill>
        <a:blip r:embed="rId1"/>
        <a:stretch>
          <a:fillRect/>
        </a:stretch>
      </xdr:blipFill>
      <xdr:spPr>
        <a:xfrm>
          <a:off x="8543925" y="95250"/>
          <a:ext cx="143827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114300</xdr:rowOff>
    </xdr:from>
    <xdr:to>
      <xdr:col>6</xdr:col>
      <xdr:colOff>933450</xdr:colOff>
      <xdr:row>3</xdr:row>
      <xdr:rowOff>104775</xdr:rowOff>
    </xdr:to>
    <xdr:pic>
      <xdr:nvPicPr>
        <xdr:cNvPr id="1" name="1 Imagen"/>
        <xdr:cNvPicPr preferRelativeResize="1">
          <a:picLocks noChangeAspect="1"/>
        </xdr:cNvPicPr>
      </xdr:nvPicPr>
      <xdr:blipFill>
        <a:blip r:embed="rId1"/>
        <a:stretch>
          <a:fillRect/>
        </a:stretch>
      </xdr:blipFill>
      <xdr:spPr>
        <a:xfrm>
          <a:off x="6753225" y="114300"/>
          <a:ext cx="1438275"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0</xdr:row>
      <xdr:rowOff>200025</xdr:rowOff>
    </xdr:from>
    <xdr:to>
      <xdr:col>3</xdr:col>
      <xdr:colOff>866775</xdr:colOff>
      <xdr:row>2</xdr:row>
      <xdr:rowOff>180975</xdr:rowOff>
    </xdr:to>
    <xdr:pic>
      <xdr:nvPicPr>
        <xdr:cNvPr id="1" name="2 Imagen"/>
        <xdr:cNvPicPr preferRelativeResize="1">
          <a:picLocks noChangeAspect="1"/>
        </xdr:cNvPicPr>
      </xdr:nvPicPr>
      <xdr:blipFill>
        <a:blip r:embed="rId1"/>
        <a:stretch>
          <a:fillRect/>
        </a:stretch>
      </xdr:blipFill>
      <xdr:spPr>
        <a:xfrm>
          <a:off x="4743450" y="200025"/>
          <a:ext cx="143827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0</xdr:row>
      <xdr:rowOff>114300</xdr:rowOff>
    </xdr:from>
    <xdr:to>
      <xdr:col>5</xdr:col>
      <xdr:colOff>752475</xdr:colOff>
      <xdr:row>2</xdr:row>
      <xdr:rowOff>190500</xdr:rowOff>
    </xdr:to>
    <xdr:pic>
      <xdr:nvPicPr>
        <xdr:cNvPr id="1" name="1 Imagen"/>
        <xdr:cNvPicPr preferRelativeResize="1">
          <a:picLocks noChangeAspect="1"/>
        </xdr:cNvPicPr>
      </xdr:nvPicPr>
      <xdr:blipFill>
        <a:blip r:embed="rId1"/>
        <a:stretch>
          <a:fillRect/>
        </a:stretch>
      </xdr:blipFill>
      <xdr:spPr>
        <a:xfrm>
          <a:off x="5686425" y="114300"/>
          <a:ext cx="14382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nmora\CONFIG~1\Temp\A&#209;O%202011\PRESUPUESTOS%202011\REBECA\A&#209;O%202010\CONTROL%20DE%20PRESUPUESTO\PRESUPUESTO%20EXTRAORDINARIO%201-2010\PRESUPUESTO%20EXTRAORDINARIO%202010%20al%2014-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Prog-I Detalle"/>
      <sheetName val="Prog-II Detalle"/>
      <sheetName val="Prog-III Detalle"/>
      <sheetName val="Prog-IV Detalle"/>
      <sheetName val="Gral y X Prog."/>
      <sheetName val="Eg. X Partida"/>
      <sheetName val="Gral. de Egresos"/>
      <sheetName val="Prog. X Partida"/>
      <sheetName val="Origen y Apli"/>
      <sheetName val="Just. Ingresos"/>
      <sheetName val="JUSTIFICACION EGRESOS"/>
      <sheetName val="CUADRO Nº5"/>
      <sheetName val="Indice"/>
    </sheetNames>
    <sheetDataSet>
      <sheetData sheetId="7">
        <row r="2">
          <cell r="A2" t="str">
            <v>MUNICIPALIDAD DE SANTA 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J18"/>
  <sheetViews>
    <sheetView showGridLines="0" tabSelected="1" zoomScale="110" zoomScaleNormal="110" zoomScalePageLayoutView="0" workbookViewId="0" topLeftCell="A1">
      <selection activeCell="F14" sqref="F14"/>
    </sheetView>
  </sheetViews>
  <sheetFormatPr defaultColWidth="11.421875" defaultRowHeight="12.75"/>
  <cols>
    <col min="1" max="1" width="25.00390625" style="70" customWidth="1"/>
    <col min="2" max="2" width="58.7109375" style="70" customWidth="1"/>
    <col min="3" max="3" width="19.57421875" style="70" customWidth="1"/>
    <col min="4" max="4" width="10.8515625" style="70" customWidth="1"/>
    <col min="5" max="5" width="2.57421875" style="70" customWidth="1"/>
    <col min="6" max="6" width="15.8515625" style="70" customWidth="1"/>
    <col min="7" max="8" width="11.421875" style="70" customWidth="1"/>
    <col min="9" max="9" width="11.7109375" style="70" bestFit="1" customWidth="1"/>
    <col min="10" max="16384" width="11.421875" style="70" customWidth="1"/>
  </cols>
  <sheetData>
    <row r="1" spans="1:4" ht="18.75">
      <c r="A1" s="382" t="s">
        <v>18</v>
      </c>
      <c r="B1" s="382"/>
      <c r="C1" s="382"/>
      <c r="D1" s="382"/>
    </row>
    <row r="2" spans="1:4" ht="18.75">
      <c r="A2" s="382" t="s">
        <v>258</v>
      </c>
      <c r="B2" s="382"/>
      <c r="C2" s="382"/>
      <c r="D2" s="382"/>
    </row>
    <row r="3" spans="1:4" ht="18.75">
      <c r="A3" s="382" t="s">
        <v>15</v>
      </c>
      <c r="B3" s="382"/>
      <c r="C3" s="382"/>
      <c r="D3" s="382"/>
    </row>
    <row r="4" spans="1:3" ht="15" customHeight="1">
      <c r="A4" s="69"/>
      <c r="B4" s="69"/>
      <c r="C4" s="71"/>
    </row>
    <row r="5" spans="1:4" ht="15.75" customHeight="1">
      <c r="A5" s="72" t="s">
        <v>99</v>
      </c>
      <c r="B5" s="72" t="s">
        <v>16</v>
      </c>
      <c r="C5" s="73" t="s">
        <v>100</v>
      </c>
      <c r="D5" s="72" t="s">
        <v>35</v>
      </c>
    </row>
    <row r="6" spans="1:4" ht="15" customHeight="1">
      <c r="A6" s="355" t="s">
        <v>317</v>
      </c>
      <c r="B6" s="74" t="s">
        <v>41</v>
      </c>
      <c r="C6" s="75">
        <f>+C7</f>
        <v>48628079.68</v>
      </c>
      <c r="D6" s="76">
        <f>+C6/$C$14</f>
        <v>0.1099286489429586</v>
      </c>
    </row>
    <row r="7" spans="1:4" ht="27.75" customHeight="1">
      <c r="A7" s="355" t="s">
        <v>318</v>
      </c>
      <c r="B7" s="74" t="s">
        <v>319</v>
      </c>
      <c r="C7" s="75">
        <f>+C8+C9</f>
        <v>48628079.68</v>
      </c>
      <c r="D7" s="76">
        <f>+C7/$C$14</f>
        <v>0.1099286489429586</v>
      </c>
    </row>
    <row r="8" spans="1:4" ht="15" customHeight="1">
      <c r="A8" s="356" t="s">
        <v>320</v>
      </c>
      <c r="B8" s="77" t="s">
        <v>231</v>
      </c>
      <c r="C8" s="78"/>
      <c r="D8" s="76">
        <f>+C8/$C$14</f>
        <v>0</v>
      </c>
    </row>
    <row r="9" spans="1:4" ht="15" customHeight="1">
      <c r="A9" s="356" t="s">
        <v>190</v>
      </c>
      <c r="B9" s="77" t="s">
        <v>229</v>
      </c>
      <c r="C9" s="78">
        <f>34678000+13950079.68</f>
        <v>48628079.68</v>
      </c>
      <c r="D9" s="76">
        <f>+C9/$C$14</f>
        <v>0.1099286489429586</v>
      </c>
    </row>
    <row r="10" spans="1:4" ht="15" customHeight="1">
      <c r="A10" s="79"/>
      <c r="B10" s="80"/>
      <c r="C10" s="78"/>
      <c r="D10" s="76"/>
    </row>
    <row r="11" spans="1:4" ht="19.5" customHeight="1">
      <c r="A11" s="380" t="s">
        <v>101</v>
      </c>
      <c r="B11" s="381"/>
      <c r="C11" s="81">
        <f>+C6</f>
        <v>48628079.68</v>
      </c>
      <c r="D11" s="76">
        <f>+C11/$C$15</f>
        <v>0.04626138792752227</v>
      </c>
    </row>
    <row r="12" spans="1:4" ht="19.5" customHeight="1">
      <c r="A12" s="74" t="s">
        <v>112</v>
      </c>
      <c r="B12" s="74" t="s">
        <v>114</v>
      </c>
      <c r="C12" s="81">
        <f>+C13+C14</f>
        <v>1002531037.2099998</v>
      </c>
      <c r="D12" s="76">
        <f>+C12/C15</f>
        <v>0.9537386120724778</v>
      </c>
    </row>
    <row r="13" spans="1:10" ht="24.75" customHeight="1">
      <c r="A13" s="77" t="s">
        <v>102</v>
      </c>
      <c r="B13" s="77" t="s">
        <v>256</v>
      </c>
      <c r="C13" s="75">
        <v>560170650.29</v>
      </c>
      <c r="D13" s="76">
        <f>+C13/$C$15</f>
        <v>0.5329075696430647</v>
      </c>
      <c r="F13" s="383"/>
      <c r="G13" s="383"/>
      <c r="H13" s="383"/>
      <c r="I13" s="383"/>
      <c r="J13" s="383"/>
    </row>
    <row r="14" spans="1:4" ht="19.5" customHeight="1">
      <c r="A14" s="77" t="s">
        <v>103</v>
      </c>
      <c r="B14" s="77" t="s">
        <v>257</v>
      </c>
      <c r="C14" s="75">
        <f>1548365362.29-170000000-65716780.39-180000000-122995945.66-9413744.51-100000000-68718134.08-90000000-19561406.2-25000000-251281865.92-1318084.12-1999014.49</f>
        <v>442360386.91999984</v>
      </c>
      <c r="D14" s="76">
        <f>+C14/$C$15</f>
        <v>0.42083104242941305</v>
      </c>
    </row>
    <row r="15" spans="1:4" ht="15">
      <c r="A15" s="378" t="s">
        <v>104</v>
      </c>
      <c r="B15" s="379"/>
      <c r="C15" s="73">
        <f>+C11+C12</f>
        <v>1051159116.8899997</v>
      </c>
      <c r="D15" s="82">
        <f>+C15/C15</f>
        <v>1</v>
      </c>
    </row>
    <row r="18" ht="14.25">
      <c r="C18" s="83"/>
    </row>
  </sheetData>
  <sheetProtection/>
  <mergeCells count="6">
    <mergeCell ref="A15:B15"/>
    <mergeCell ref="A11:B11"/>
    <mergeCell ref="A1:D1"/>
    <mergeCell ref="A2:D2"/>
    <mergeCell ref="A3:D3"/>
    <mergeCell ref="F13:J13"/>
  </mergeCells>
  <printOptions horizontalCentered="1"/>
  <pageMargins left="0.5" right="0.5" top="0.748031496062992" bottom="0.984251968503937" header="0" footer="0"/>
  <pageSetup horizontalDpi="600" verticalDpi="600" orientation="portrait" scale="85" r:id="rId4"/>
  <drawing r:id="rId3"/>
  <legacyDrawing r:id="rId2"/>
</worksheet>
</file>

<file path=xl/worksheets/sheet10.xml><?xml version="1.0" encoding="utf-8"?>
<worksheet xmlns="http://schemas.openxmlformats.org/spreadsheetml/2006/main" xmlns:r="http://schemas.openxmlformats.org/officeDocument/2006/relationships">
  <sheetPr>
    <tabColor indexed="50"/>
  </sheetPr>
  <dimension ref="A1:D26"/>
  <sheetViews>
    <sheetView showGridLines="0" zoomScalePageLayoutView="0" workbookViewId="0" topLeftCell="A1">
      <selection activeCell="D11" sqref="D11"/>
    </sheetView>
  </sheetViews>
  <sheetFormatPr defaultColWidth="9.140625" defaultRowHeight="12.75"/>
  <cols>
    <col min="1" max="1" width="13.8515625" style="0" customWidth="1"/>
    <col min="2" max="2" width="41.421875" style="0" customWidth="1"/>
    <col min="3" max="3" width="24.421875" style="0" customWidth="1"/>
    <col min="4" max="4" width="14.421875" style="13" customWidth="1"/>
  </cols>
  <sheetData>
    <row r="1" spans="1:4" ht="19.5" customHeight="1">
      <c r="A1" s="470" t="s">
        <v>18</v>
      </c>
      <c r="B1" s="470"/>
      <c r="C1" s="470"/>
      <c r="D1" s="470"/>
    </row>
    <row r="2" spans="1:4" ht="19.5" customHeight="1">
      <c r="A2" s="471" t="str">
        <f>+'Prog-I Detalle'!A2:D2</f>
        <v>PRESUPUESTO EXTRAORDINARIO 01-2018</v>
      </c>
      <c r="B2" s="470"/>
      <c r="C2" s="470"/>
      <c r="D2" s="470"/>
    </row>
    <row r="3" spans="1:4" ht="19.5" customHeight="1">
      <c r="A3" s="470" t="s">
        <v>32</v>
      </c>
      <c r="B3" s="470"/>
      <c r="C3" s="470"/>
      <c r="D3" s="470"/>
    </row>
    <row r="4" spans="1:4" ht="19.5" customHeight="1">
      <c r="A4" s="206"/>
      <c r="B4" s="206"/>
      <c r="C4" s="206"/>
      <c r="D4" s="207"/>
    </row>
    <row r="5" spans="1:4" ht="15" customHeight="1">
      <c r="A5" s="208" t="s">
        <v>19</v>
      </c>
      <c r="B5" s="208" t="s">
        <v>33</v>
      </c>
      <c r="C5" s="208" t="s">
        <v>34</v>
      </c>
      <c r="D5" s="209" t="s">
        <v>35</v>
      </c>
    </row>
    <row r="6" spans="1:4" ht="12.75">
      <c r="A6" s="210"/>
      <c r="B6" s="211"/>
      <c r="C6" s="211"/>
      <c r="D6" s="212"/>
    </row>
    <row r="7" spans="1:4" ht="15" customHeight="1">
      <c r="A7" s="213"/>
      <c r="B7" s="214" t="s">
        <v>36</v>
      </c>
      <c r="C7" s="215">
        <f>+'Eg. X Partida'!G8</f>
        <v>1051159116.8899999</v>
      </c>
      <c r="D7" s="216">
        <v>1</v>
      </c>
    </row>
    <row r="8" spans="1:4" ht="12.75">
      <c r="A8" s="213"/>
      <c r="B8" s="217"/>
      <c r="C8" s="218"/>
      <c r="D8" s="219"/>
    </row>
    <row r="9" spans="1:4" ht="15" customHeight="1">
      <c r="A9" s="220">
        <v>0</v>
      </c>
      <c r="B9" s="217" t="s">
        <v>37</v>
      </c>
      <c r="C9" s="218">
        <f>+'Gral y X Prog.'!K8</f>
        <v>3872654.0300000003</v>
      </c>
      <c r="D9" s="219">
        <f>+C9/$C$7</f>
        <v>0.00368417489585952</v>
      </c>
    </row>
    <row r="10" spans="1:4" ht="12.75">
      <c r="A10" s="220"/>
      <c r="B10" s="217"/>
      <c r="C10" s="218"/>
      <c r="D10" s="219"/>
    </row>
    <row r="11" spans="1:4" ht="15" customHeight="1">
      <c r="A11" s="220">
        <v>1</v>
      </c>
      <c r="B11" s="217" t="s">
        <v>38</v>
      </c>
      <c r="C11" s="218">
        <f>+'Gral y X Prog.'!K18</f>
        <v>148947934.09999996</v>
      </c>
      <c r="D11" s="219">
        <f>+C11/$C$7</f>
        <v>0.14169875112788166</v>
      </c>
    </row>
    <row r="12" spans="1:4" ht="12.75">
      <c r="A12" s="220"/>
      <c r="B12" s="217"/>
      <c r="C12" s="218"/>
      <c r="D12" s="219"/>
    </row>
    <row r="13" spans="1:4" ht="15" customHeight="1">
      <c r="A13" s="220">
        <v>2</v>
      </c>
      <c r="B13" s="217" t="s">
        <v>39</v>
      </c>
      <c r="C13" s="218">
        <f>+'Gral y X Prog.'!K30</f>
        <v>11012355.12</v>
      </c>
      <c r="D13" s="219">
        <f>+C13/$C$7</f>
        <v>0.010476392149441257</v>
      </c>
    </row>
    <row r="14" spans="1:4" ht="12.75">
      <c r="A14" s="220"/>
      <c r="B14" s="217"/>
      <c r="C14" s="218"/>
      <c r="D14" s="219"/>
    </row>
    <row r="15" spans="1:4" ht="15.75" customHeight="1">
      <c r="A15" s="220">
        <v>3</v>
      </c>
      <c r="B15" s="217" t="s">
        <v>40</v>
      </c>
      <c r="C15" s="218">
        <f>+'Gral y X Prog.'!K42</f>
        <v>0</v>
      </c>
      <c r="D15" s="219">
        <f aca="true" t="shared" si="0" ref="D15:D25">+C15/$C$7</f>
        <v>0</v>
      </c>
    </row>
    <row r="16" spans="1:4" ht="12.75">
      <c r="A16" s="220"/>
      <c r="B16" s="217"/>
      <c r="C16" s="218"/>
      <c r="D16" s="219"/>
    </row>
    <row r="17" spans="1:4" ht="15" customHeight="1">
      <c r="A17" s="220">
        <v>5</v>
      </c>
      <c r="B17" s="217" t="s">
        <v>24</v>
      </c>
      <c r="C17" s="218">
        <f>+'Gral y X Prog.'!K44</f>
        <v>474368900.84</v>
      </c>
      <c r="D17" s="219">
        <f t="shared" si="0"/>
        <v>0.4512817262561411</v>
      </c>
    </row>
    <row r="18" spans="1:4" ht="12.75">
      <c r="A18" s="220"/>
      <c r="B18" s="217"/>
      <c r="C18" s="218"/>
      <c r="D18" s="219"/>
    </row>
    <row r="19" spans="1:4" ht="15" customHeight="1">
      <c r="A19" s="220">
        <v>6</v>
      </c>
      <c r="B19" s="217" t="s">
        <v>41</v>
      </c>
      <c r="C19" s="218">
        <f>+'Gral y X Prog.'!K57</f>
        <v>66065048.66</v>
      </c>
      <c r="D19" s="219">
        <f t="shared" si="0"/>
        <v>0.06284971285361879</v>
      </c>
    </row>
    <row r="20" spans="1:4" ht="12.75">
      <c r="A20" s="220"/>
      <c r="B20" s="217"/>
      <c r="C20" s="218"/>
      <c r="D20" s="219"/>
    </row>
    <row r="21" spans="1:4" ht="15" customHeight="1">
      <c r="A21" s="220">
        <v>7</v>
      </c>
      <c r="B21" s="217" t="s">
        <v>42</v>
      </c>
      <c r="C21" s="218">
        <f>+'Gral y X Prog.'!K64</f>
        <v>296308852.55</v>
      </c>
      <c r="D21" s="219">
        <f>+C21/$C$7</f>
        <v>0.28188772545366003</v>
      </c>
    </row>
    <row r="22" spans="1:4" ht="13.5" customHeight="1">
      <c r="A22" s="220"/>
      <c r="B22" s="217"/>
      <c r="C22" s="218"/>
      <c r="D22" s="219"/>
    </row>
    <row r="23" spans="1:4" ht="15.75" customHeight="1">
      <c r="A23" s="220">
        <v>8</v>
      </c>
      <c r="B23" s="217" t="s">
        <v>43</v>
      </c>
      <c r="C23" s="218">
        <f>+'Gral y X Prog.'!K68</f>
        <v>0</v>
      </c>
      <c r="D23" s="219">
        <f t="shared" si="0"/>
        <v>0</v>
      </c>
    </row>
    <row r="24" spans="1:4" ht="12.75" customHeight="1">
      <c r="A24" s="220"/>
      <c r="B24" s="217"/>
      <c r="C24" s="217"/>
      <c r="D24" s="219"/>
    </row>
    <row r="25" spans="1:4" ht="15.75" customHeight="1">
      <c r="A25" s="220">
        <v>9</v>
      </c>
      <c r="B25" s="217" t="s">
        <v>66</v>
      </c>
      <c r="C25" s="218">
        <f>+'Gral y X Prog.'!K70</f>
        <v>0</v>
      </c>
      <c r="D25" s="219">
        <f t="shared" si="0"/>
        <v>0</v>
      </c>
    </row>
    <row r="26" spans="1:4" ht="12.75">
      <c r="A26" s="11"/>
      <c r="B26" s="8"/>
      <c r="C26" s="8"/>
      <c r="D26" s="14"/>
    </row>
  </sheetData>
  <sheetProtection/>
  <mergeCells count="3">
    <mergeCell ref="A1:D1"/>
    <mergeCell ref="A2:D2"/>
    <mergeCell ref="A3:D3"/>
  </mergeCells>
  <printOptions horizontalCentered="1"/>
  <pageMargins left="0.7874015748031497" right="0.7874015748031497" top="0.7480314960629921" bottom="0.984251968503937" header="0" footer="0"/>
  <pageSetup horizontalDpi="600" verticalDpi="600" orientation="portrait" scale="95"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G22"/>
  <sheetViews>
    <sheetView showGridLines="0" zoomScalePageLayoutView="0" workbookViewId="0" topLeftCell="A1">
      <selection activeCell="D11" sqref="D11:E11"/>
    </sheetView>
  </sheetViews>
  <sheetFormatPr defaultColWidth="11.421875" defaultRowHeight="12.75"/>
  <cols>
    <col min="1" max="1" width="14.7109375" style="0" customWidth="1"/>
    <col min="2" max="2" width="35.8515625" style="0" customWidth="1"/>
    <col min="3" max="3" width="25.421875" style="0" customWidth="1"/>
    <col min="5" max="5" width="8.140625" style="0" customWidth="1"/>
    <col min="6" max="6" width="15.28125" style="0" customWidth="1"/>
  </cols>
  <sheetData>
    <row r="1" spans="1:6" ht="15.75">
      <c r="A1" s="472" t="s">
        <v>18</v>
      </c>
      <c r="B1" s="472"/>
      <c r="C1" s="472"/>
      <c r="D1" s="472"/>
      <c r="E1" s="472"/>
      <c r="F1" s="472"/>
    </row>
    <row r="2" spans="1:6" ht="15.75">
      <c r="A2" s="472" t="s">
        <v>258</v>
      </c>
      <c r="B2" s="472"/>
      <c r="C2" s="472"/>
      <c r="D2" s="472"/>
      <c r="E2" s="472"/>
      <c r="F2" s="472"/>
    </row>
    <row r="3" spans="1:6" ht="15.75">
      <c r="A3" s="472" t="s">
        <v>157</v>
      </c>
      <c r="B3" s="472"/>
      <c r="C3" s="472"/>
      <c r="D3" s="472"/>
      <c r="E3" s="472"/>
      <c r="F3" s="472"/>
    </row>
    <row r="4" spans="1:6" ht="12.75">
      <c r="A4" s="51"/>
      <c r="B4" s="47"/>
      <c r="C4" s="47"/>
      <c r="D4" s="47"/>
      <c r="E4" s="47"/>
      <c r="F4" s="47"/>
    </row>
    <row r="5" spans="1:6" ht="12.75">
      <c r="A5" s="51"/>
      <c r="B5" s="47"/>
      <c r="C5" s="47"/>
      <c r="D5" s="47"/>
      <c r="E5" s="47"/>
      <c r="F5" s="47"/>
    </row>
    <row r="6" spans="1:7" ht="15.75">
      <c r="A6" s="473" t="s">
        <v>158</v>
      </c>
      <c r="B6" s="473"/>
      <c r="C6" s="473"/>
      <c r="D6" s="473"/>
      <c r="E6" s="473"/>
      <c r="F6" s="473"/>
      <c r="G6" s="46"/>
    </row>
    <row r="7" spans="1:7" ht="15.75">
      <c r="A7" s="474"/>
      <c r="B7" s="474"/>
      <c r="C7" s="47"/>
      <c r="D7" s="474"/>
      <c r="E7" s="474"/>
      <c r="F7" s="47"/>
      <c r="G7" s="46"/>
    </row>
    <row r="8" spans="1:7" ht="16.5" thickBot="1">
      <c r="A8" s="476"/>
      <c r="B8" s="476"/>
      <c r="C8" s="47"/>
      <c r="D8" s="476"/>
      <c r="E8" s="476"/>
      <c r="F8" s="47"/>
      <c r="G8" s="46"/>
    </row>
    <row r="9" spans="1:7" ht="15.75">
      <c r="A9" s="477" t="s">
        <v>159</v>
      </c>
      <c r="B9" s="478"/>
      <c r="C9" s="375" t="s">
        <v>59</v>
      </c>
      <c r="D9" s="477" t="s">
        <v>63</v>
      </c>
      <c r="E9" s="478"/>
      <c r="F9" s="375" t="s">
        <v>21</v>
      </c>
      <c r="G9" s="46"/>
    </row>
    <row r="10" spans="1:7" ht="15.75">
      <c r="A10" s="475" t="s">
        <v>534</v>
      </c>
      <c r="B10" s="475"/>
      <c r="C10" s="232" t="s">
        <v>253</v>
      </c>
      <c r="D10" s="475" t="s">
        <v>537</v>
      </c>
      <c r="E10" s="475"/>
      <c r="F10" s="376">
        <v>2803153.51</v>
      </c>
      <c r="G10" s="46"/>
    </row>
    <row r="11" spans="1:7" ht="33" customHeight="1">
      <c r="A11" s="399" t="s">
        <v>238</v>
      </c>
      <c r="B11" s="401"/>
      <c r="C11" s="232" t="s">
        <v>253</v>
      </c>
      <c r="D11" s="475" t="s">
        <v>536</v>
      </c>
      <c r="E11" s="475"/>
      <c r="F11" s="376">
        <v>12000000</v>
      </c>
      <c r="G11" s="46"/>
    </row>
    <row r="12" spans="1:7" ht="36" customHeight="1">
      <c r="A12" s="418" t="s">
        <v>303</v>
      </c>
      <c r="B12" s="420"/>
      <c r="C12" s="232" t="s">
        <v>253</v>
      </c>
      <c r="D12" s="475" t="s">
        <v>353</v>
      </c>
      <c r="E12" s="475"/>
      <c r="F12" s="376">
        <v>2000000</v>
      </c>
      <c r="G12" s="46"/>
    </row>
    <row r="13" spans="1:7" ht="42" customHeight="1">
      <c r="A13" s="399" t="s">
        <v>304</v>
      </c>
      <c r="B13" s="401"/>
      <c r="C13" s="232" t="s">
        <v>253</v>
      </c>
      <c r="D13" s="475" t="s">
        <v>305</v>
      </c>
      <c r="E13" s="475"/>
      <c r="F13" s="376">
        <v>159308852.55</v>
      </c>
      <c r="G13" s="46"/>
    </row>
    <row r="14" spans="1:7" ht="32.25" customHeight="1" thickBot="1">
      <c r="A14" s="480" t="s">
        <v>160</v>
      </c>
      <c r="B14" s="481"/>
      <c r="C14" s="221"/>
      <c r="D14" s="482"/>
      <c r="E14" s="483"/>
      <c r="F14" s="222">
        <f>SUM(F10:F13)</f>
        <v>176112006.06</v>
      </c>
      <c r="G14" s="46"/>
    </row>
    <row r="15" spans="1:7" ht="15.75">
      <c r="A15" s="484"/>
      <c r="B15" s="484"/>
      <c r="C15" s="47"/>
      <c r="D15" s="484"/>
      <c r="E15" s="484"/>
      <c r="F15" s="47"/>
      <c r="G15" s="46"/>
    </row>
    <row r="16" spans="1:7" ht="15.75">
      <c r="A16" s="48"/>
      <c r="B16" s="48"/>
      <c r="C16" s="47"/>
      <c r="D16" s="48"/>
      <c r="E16" s="48"/>
      <c r="F16" s="47"/>
      <c r="G16" s="46"/>
    </row>
    <row r="17" spans="1:7" ht="15.75">
      <c r="A17" s="48"/>
      <c r="B17" s="48"/>
      <c r="C17" s="47"/>
      <c r="D17" s="48"/>
      <c r="E17" s="48"/>
      <c r="F17" s="47"/>
      <c r="G17" s="46"/>
    </row>
    <row r="18" spans="1:7" ht="15.75">
      <c r="A18" s="48"/>
      <c r="B18" s="48"/>
      <c r="C18" s="47"/>
      <c r="D18" s="48"/>
      <c r="E18" s="48"/>
      <c r="F18" s="47"/>
      <c r="G18" s="46"/>
    </row>
    <row r="19" spans="1:7" ht="15.75">
      <c r="A19" s="48"/>
      <c r="B19" s="48"/>
      <c r="C19" s="47"/>
      <c r="D19" s="48"/>
      <c r="E19" s="48"/>
      <c r="F19" s="47"/>
      <c r="G19" s="46"/>
    </row>
    <row r="20" spans="1:7" ht="15.75">
      <c r="A20" s="48"/>
      <c r="B20" s="48"/>
      <c r="C20" s="47"/>
      <c r="D20" s="48"/>
      <c r="E20" s="48"/>
      <c r="F20" s="47"/>
      <c r="G20" s="46"/>
    </row>
    <row r="21" spans="1:7" ht="15.75">
      <c r="A21" s="479" t="s">
        <v>161</v>
      </c>
      <c r="B21" s="479"/>
      <c r="C21" s="479"/>
      <c r="D21" s="479"/>
      <c r="E21" s="479"/>
      <c r="F21" s="49"/>
      <c r="G21" s="46"/>
    </row>
    <row r="22" spans="1:7" ht="12.75">
      <c r="A22" s="49" t="s">
        <v>535</v>
      </c>
      <c r="B22" s="50"/>
      <c r="C22" s="50"/>
      <c r="D22" s="50"/>
      <c r="E22" s="49"/>
      <c r="F22" s="479"/>
      <c r="G22" s="479"/>
    </row>
  </sheetData>
  <sheetProtection/>
  <mergeCells count="25">
    <mergeCell ref="A21:C21"/>
    <mergeCell ref="D21:E21"/>
    <mergeCell ref="F22:G22"/>
    <mergeCell ref="A11:B11"/>
    <mergeCell ref="D11:E11"/>
    <mergeCell ref="A14:B14"/>
    <mergeCell ref="D14:E14"/>
    <mergeCell ref="A15:B15"/>
    <mergeCell ref="D15:E15"/>
    <mergeCell ref="A12:B12"/>
    <mergeCell ref="A13:B13"/>
    <mergeCell ref="D12:E12"/>
    <mergeCell ref="A8:B8"/>
    <mergeCell ref="D8:E8"/>
    <mergeCell ref="A9:B9"/>
    <mergeCell ref="D9:E9"/>
    <mergeCell ref="A10:B10"/>
    <mergeCell ref="D10:E10"/>
    <mergeCell ref="D13:E13"/>
    <mergeCell ref="A1:F1"/>
    <mergeCell ref="A2:F2"/>
    <mergeCell ref="A3:F3"/>
    <mergeCell ref="A6:F6"/>
    <mergeCell ref="A7:B7"/>
    <mergeCell ref="D7:E7"/>
  </mergeCells>
  <printOptions horizontalCentered="1"/>
  <pageMargins left="0.5118110236220472" right="0.5118110236220472" top="0.7480314960629921" bottom="0.7480314960629921" header="0.31496062992125984" footer="0.31496062992125984"/>
  <pageSetup horizontalDpi="600" verticalDpi="600" orientation="portrait" scale="85"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N22"/>
  <sheetViews>
    <sheetView showGridLines="0" zoomScalePageLayoutView="0" workbookViewId="0" topLeftCell="A1">
      <selection activeCell="D9" sqref="D9"/>
    </sheetView>
  </sheetViews>
  <sheetFormatPr defaultColWidth="11.421875" defaultRowHeight="12.75"/>
  <cols>
    <col min="1" max="1" width="11.00390625" style="225" customWidth="1"/>
    <col min="2" max="2" width="46.8515625" style="85" customWidth="1"/>
    <col min="3" max="3" width="14.00390625" style="85" customWidth="1"/>
    <col min="4" max="4" width="17.8515625" style="85" customWidth="1"/>
    <col min="5" max="5" width="18.7109375" style="85" customWidth="1"/>
    <col min="6" max="6" width="25.140625" style="85" customWidth="1"/>
    <col min="7" max="16384" width="11.421875" style="85" customWidth="1"/>
  </cols>
  <sheetData>
    <row r="1" spans="1:6" ht="19.5" customHeight="1">
      <c r="A1" s="486" t="s">
        <v>18</v>
      </c>
      <c r="B1" s="486"/>
      <c r="C1" s="486"/>
      <c r="D1" s="486"/>
      <c r="E1" s="486"/>
      <c r="F1" s="486"/>
    </row>
    <row r="2" spans="1:14" ht="19.5" customHeight="1">
      <c r="A2" s="466" t="s">
        <v>258</v>
      </c>
      <c r="B2" s="466"/>
      <c r="C2" s="466"/>
      <c r="D2" s="466"/>
      <c r="E2" s="466"/>
      <c r="F2" s="466"/>
      <c r="G2" s="224"/>
      <c r="H2" s="224"/>
      <c r="I2" s="224"/>
      <c r="J2" s="224"/>
      <c r="K2" s="224"/>
      <c r="L2" s="224"/>
      <c r="M2" s="224"/>
      <c r="N2" s="224"/>
    </row>
    <row r="3" spans="1:6" ht="19.5" customHeight="1">
      <c r="A3" s="486" t="s">
        <v>54</v>
      </c>
      <c r="B3" s="486"/>
      <c r="C3" s="486"/>
      <c r="D3" s="486"/>
      <c r="E3" s="486"/>
      <c r="F3" s="486"/>
    </row>
    <row r="4" spans="1:6" ht="27" customHeight="1">
      <c r="A4" s="486" t="s">
        <v>55</v>
      </c>
      <c r="B4" s="486"/>
      <c r="C4" s="486"/>
      <c r="D4" s="486"/>
      <c r="E4" s="486"/>
      <c r="F4" s="486"/>
    </row>
    <row r="5" ht="15"/>
    <row r="6" spans="1:6" ht="60">
      <c r="A6" s="333" t="s">
        <v>56</v>
      </c>
      <c r="B6" s="334" t="s">
        <v>57</v>
      </c>
      <c r="C6" s="333" t="s">
        <v>58</v>
      </c>
      <c r="D6" s="333" t="s">
        <v>59</v>
      </c>
      <c r="E6" s="335" t="s">
        <v>21</v>
      </c>
      <c r="F6" s="335" t="s">
        <v>60</v>
      </c>
    </row>
    <row r="7" spans="1:6" ht="12.75">
      <c r="A7" s="336">
        <v>6</v>
      </c>
      <c r="B7" s="337" t="s">
        <v>41</v>
      </c>
      <c r="C7" s="337"/>
      <c r="D7" s="337"/>
      <c r="E7" s="338">
        <f>+E9+E10+E11</f>
        <v>46000000</v>
      </c>
      <c r="F7" s="339"/>
    </row>
    <row r="8" spans="1:6" ht="25.5">
      <c r="A8" s="340">
        <v>6.01</v>
      </c>
      <c r="B8" s="232" t="s">
        <v>221</v>
      </c>
      <c r="C8" s="232"/>
      <c r="D8" s="232"/>
      <c r="E8" s="233"/>
      <c r="F8" s="233"/>
    </row>
    <row r="9" spans="1:6" ht="25.5">
      <c r="A9" s="340"/>
      <c r="B9" s="232" t="s">
        <v>252</v>
      </c>
      <c r="C9" s="232"/>
      <c r="D9" s="232" t="s">
        <v>253</v>
      </c>
      <c r="E9" s="233">
        <v>10000000</v>
      </c>
      <c r="F9" s="341" t="s">
        <v>521</v>
      </c>
    </row>
    <row r="10" spans="1:6" ht="76.5">
      <c r="A10" s="340"/>
      <c r="B10" s="232" t="s">
        <v>522</v>
      </c>
      <c r="C10" s="232"/>
      <c r="D10" s="232" t="s">
        <v>523</v>
      </c>
      <c r="E10" s="233">
        <v>30000000</v>
      </c>
      <c r="F10" s="341" t="s">
        <v>524</v>
      </c>
    </row>
    <row r="11" spans="1:6" ht="38.25">
      <c r="A11" s="340"/>
      <c r="B11" s="232" t="s">
        <v>525</v>
      </c>
      <c r="C11" s="232"/>
      <c r="D11" s="232" t="s">
        <v>253</v>
      </c>
      <c r="E11" s="233">
        <v>6000000</v>
      </c>
      <c r="F11" s="341" t="s">
        <v>526</v>
      </c>
    </row>
    <row r="12" spans="1:6" ht="16.5" customHeight="1">
      <c r="A12" s="228"/>
      <c r="B12" s="227"/>
      <c r="C12" s="228"/>
      <c r="D12" s="227"/>
      <c r="E12" s="229"/>
      <c r="F12" s="342"/>
    </row>
    <row r="13" spans="1:6" ht="21" customHeight="1">
      <c r="A13" s="336">
        <v>7</v>
      </c>
      <c r="B13" s="343" t="s">
        <v>42</v>
      </c>
      <c r="C13" s="344"/>
      <c r="D13" s="344"/>
      <c r="E13" s="345">
        <f>+E14+E15+E16</f>
        <v>112000000</v>
      </c>
      <c r="F13" s="345"/>
    </row>
    <row r="14" spans="1:6" ht="25.5">
      <c r="A14" s="346"/>
      <c r="B14" s="332" t="s">
        <v>527</v>
      </c>
      <c r="C14" s="227"/>
      <c r="D14" s="232" t="s">
        <v>253</v>
      </c>
      <c r="E14" s="229">
        <v>2000000</v>
      </c>
      <c r="F14" s="342" t="s">
        <v>528</v>
      </c>
    </row>
    <row r="15" spans="1:6" ht="25.5">
      <c r="A15" s="346"/>
      <c r="B15" s="332" t="s">
        <v>529</v>
      </c>
      <c r="C15" s="227"/>
      <c r="D15" s="232" t="s">
        <v>253</v>
      </c>
      <c r="E15" s="229">
        <v>10000000</v>
      </c>
      <c r="F15" s="342" t="s">
        <v>530</v>
      </c>
    </row>
    <row r="16" spans="1:6" ht="25.5">
      <c r="A16" s="346"/>
      <c r="B16" s="332" t="s">
        <v>531</v>
      </c>
      <c r="C16" s="227"/>
      <c r="D16" s="232" t="s">
        <v>253</v>
      </c>
      <c r="E16" s="229">
        <v>100000000</v>
      </c>
      <c r="F16" s="342" t="s">
        <v>532</v>
      </c>
    </row>
    <row r="17" spans="1:6" s="230" customFormat="1" ht="18.75" customHeight="1">
      <c r="A17" s="347"/>
      <c r="B17" s="348" t="s">
        <v>36</v>
      </c>
      <c r="C17" s="349"/>
      <c r="D17" s="349"/>
      <c r="E17" s="350">
        <f>+E7+E13</f>
        <v>158000000</v>
      </c>
      <c r="F17" s="350"/>
    </row>
    <row r="19" ht="18" customHeight="1"/>
    <row r="20" spans="1:3" s="231" customFormat="1" ht="24.75" customHeight="1">
      <c r="A20" s="485" t="s">
        <v>61</v>
      </c>
      <c r="B20" s="485"/>
      <c r="C20" s="485"/>
    </row>
    <row r="21" spans="1:2" s="231" customFormat="1" ht="22.5" customHeight="1">
      <c r="A21" s="485" t="s">
        <v>533</v>
      </c>
      <c r="B21" s="485"/>
    </row>
    <row r="22" s="231" customFormat="1" ht="12.75">
      <c r="A22" s="223"/>
    </row>
    <row r="23" ht="11.25" customHeight="1"/>
  </sheetData>
  <sheetProtection/>
  <mergeCells count="6">
    <mergeCell ref="A21:B21"/>
    <mergeCell ref="A2:F2"/>
    <mergeCell ref="A1:F1"/>
    <mergeCell ref="A3:F3"/>
    <mergeCell ref="A4:F4"/>
    <mergeCell ref="A20:C20"/>
  </mergeCells>
  <printOptions horizontalCentered="1"/>
  <pageMargins left="0.5905511811023623" right="0.5905511811023623" top="0.7874015748031497" bottom="0.7874015748031497" header="0" footer="0"/>
  <pageSetup horizontalDpi="600" verticalDpi="600" orientation="portrait" scale="70" r:id="rId4"/>
  <drawing r:id="rId3"/>
  <legacyDrawing r:id="rId2"/>
</worksheet>
</file>

<file path=xl/worksheets/sheet13.xml><?xml version="1.0" encoding="utf-8"?>
<worksheet xmlns="http://schemas.openxmlformats.org/spreadsheetml/2006/main" xmlns:r="http://schemas.openxmlformats.org/officeDocument/2006/relationships">
  <sheetPr>
    <tabColor indexed="12"/>
  </sheetPr>
  <dimension ref="A1:K103"/>
  <sheetViews>
    <sheetView showGridLines="0" zoomScalePageLayoutView="0" workbookViewId="0" topLeftCell="A1">
      <selection activeCell="C78" sqref="C78"/>
    </sheetView>
  </sheetViews>
  <sheetFormatPr defaultColWidth="11.421875" defaultRowHeight="12.75"/>
  <cols>
    <col min="1" max="1" width="23.57421875" style="85" customWidth="1"/>
    <col min="2" max="2" width="32.00390625" style="85" customWidth="1"/>
    <col min="3" max="3" width="21.28125" style="85" customWidth="1"/>
    <col min="4" max="4" width="9.00390625" style="85" customWidth="1"/>
    <col min="5" max="5" width="9.7109375" style="85" customWidth="1"/>
    <col min="6" max="6" width="7.7109375" style="85" customWidth="1"/>
    <col min="7" max="7" width="32.140625" style="85" customWidth="1"/>
    <col min="8" max="8" width="20.8515625" style="85" customWidth="1"/>
    <col min="9" max="9" width="23.8515625" style="184" customWidth="1"/>
    <col min="10" max="10" width="18.140625" style="85" bestFit="1" customWidth="1"/>
    <col min="11" max="11" width="12.7109375" style="85" bestFit="1" customWidth="1"/>
    <col min="12" max="16384" width="11.421875" style="85" customWidth="1"/>
  </cols>
  <sheetData>
    <row r="1" spans="1:8" ht="15">
      <c r="A1" s="487" t="str">
        <f>+'[1]Gral. de Egresos'!A2</f>
        <v>MUNICIPALIDAD DE SANTA ANA</v>
      </c>
      <c r="B1" s="487"/>
      <c r="C1" s="487"/>
      <c r="D1" s="487"/>
      <c r="E1" s="487"/>
      <c r="F1" s="487"/>
      <c r="G1" s="487"/>
      <c r="H1" s="487"/>
    </row>
    <row r="2" spans="1:8" ht="15">
      <c r="A2" s="487" t="s">
        <v>258</v>
      </c>
      <c r="B2" s="487"/>
      <c r="C2" s="487"/>
      <c r="D2" s="487"/>
      <c r="E2" s="487"/>
      <c r="F2" s="487"/>
      <c r="G2" s="487"/>
      <c r="H2" s="487"/>
    </row>
    <row r="3" spans="1:8" ht="15">
      <c r="A3" s="487" t="s">
        <v>71</v>
      </c>
      <c r="B3" s="487"/>
      <c r="C3" s="487"/>
      <c r="D3" s="487"/>
      <c r="E3" s="487"/>
      <c r="F3" s="487"/>
      <c r="G3" s="487"/>
      <c r="H3" s="487"/>
    </row>
    <row r="4" spans="1:8" ht="15">
      <c r="A4" s="487" t="s">
        <v>72</v>
      </c>
      <c r="B4" s="487"/>
      <c r="C4" s="487"/>
      <c r="D4" s="487"/>
      <c r="E4" s="487"/>
      <c r="F4" s="487"/>
      <c r="G4" s="487"/>
      <c r="H4" s="487"/>
    </row>
    <row r="5" spans="1:8" ht="13.5" thickBot="1">
      <c r="A5" s="148"/>
      <c r="B5" s="148"/>
      <c r="C5" s="234"/>
      <c r="D5" s="235"/>
      <c r="E5" s="236"/>
      <c r="F5" s="235"/>
      <c r="G5" s="148"/>
      <c r="H5" s="234"/>
    </row>
    <row r="6" spans="1:8" ht="12.75">
      <c r="A6" s="488" t="s">
        <v>74</v>
      </c>
      <c r="B6" s="488" t="s">
        <v>73</v>
      </c>
      <c r="C6" s="488" t="s">
        <v>21</v>
      </c>
      <c r="D6" s="490" t="s">
        <v>76</v>
      </c>
      <c r="E6" s="490" t="s">
        <v>77</v>
      </c>
      <c r="F6" s="490" t="s">
        <v>78</v>
      </c>
      <c r="G6" s="488" t="s">
        <v>75</v>
      </c>
      <c r="H6" s="493" t="s">
        <v>21</v>
      </c>
    </row>
    <row r="7" spans="1:8" ht="30.75" customHeight="1">
      <c r="A7" s="489"/>
      <c r="B7" s="489"/>
      <c r="C7" s="489"/>
      <c r="D7" s="491"/>
      <c r="E7" s="491"/>
      <c r="F7" s="491"/>
      <c r="G7" s="489"/>
      <c r="H7" s="494"/>
    </row>
    <row r="8" spans="1:9" ht="31.5" customHeight="1">
      <c r="A8" s="237" t="str">
        <f>+Ingresos!A8</f>
        <v>1,4,1,1,00,00,0,0,000</v>
      </c>
      <c r="B8" s="237" t="str">
        <f>+Ingresos!B8</f>
        <v>Transferencias de corriente del Gobierno Central</v>
      </c>
      <c r="C8" s="238">
        <f>+Ingresos!C8</f>
        <v>0</v>
      </c>
      <c r="D8" s="248" t="s">
        <v>109</v>
      </c>
      <c r="E8" s="240" t="s">
        <v>110</v>
      </c>
      <c r="F8" s="240"/>
      <c r="G8" s="307" t="s">
        <v>232</v>
      </c>
      <c r="H8" s="244">
        <f>+C8</f>
        <v>0</v>
      </c>
      <c r="I8" s="255"/>
    </row>
    <row r="9" spans="1:8" ht="17.25" customHeight="1">
      <c r="A9" s="237"/>
      <c r="B9" s="242"/>
      <c r="C9" s="250"/>
      <c r="D9" s="248"/>
      <c r="E9" s="240"/>
      <c r="F9" s="240"/>
      <c r="G9" s="307"/>
      <c r="H9" s="244"/>
    </row>
    <row r="10" spans="1:8" ht="31.5" customHeight="1">
      <c r="A10" s="237" t="s">
        <v>190</v>
      </c>
      <c r="B10" s="242" t="s">
        <v>229</v>
      </c>
      <c r="C10" s="316">
        <f>+Ingresos!C9</f>
        <v>48628079.68</v>
      </c>
      <c r="D10" s="248" t="s">
        <v>109</v>
      </c>
      <c r="E10" s="240" t="s">
        <v>174</v>
      </c>
      <c r="F10" s="240"/>
      <c r="G10" s="307" t="s">
        <v>213</v>
      </c>
      <c r="H10" s="244">
        <v>34678000</v>
      </c>
    </row>
    <row r="11" spans="1:8" ht="15" customHeight="1">
      <c r="A11" s="237"/>
      <c r="B11" s="243"/>
      <c r="C11" s="244"/>
      <c r="D11" s="248" t="s">
        <v>109</v>
      </c>
      <c r="E11" s="240" t="s">
        <v>244</v>
      </c>
      <c r="F11" s="240"/>
      <c r="G11" s="307" t="s">
        <v>324</v>
      </c>
      <c r="H11" s="244">
        <v>13950079.68</v>
      </c>
    </row>
    <row r="12" spans="1:8" ht="15" customHeight="1">
      <c r="A12" s="237"/>
      <c r="B12" s="243"/>
      <c r="C12" s="244"/>
      <c r="D12" s="357"/>
      <c r="E12" s="358"/>
      <c r="F12" s="358"/>
      <c r="G12" s="359"/>
      <c r="H12" s="360">
        <f>SUM(H10:H11)</f>
        <v>48628079.68</v>
      </c>
    </row>
    <row r="13" spans="1:8" ht="15" customHeight="1">
      <c r="A13" s="237"/>
      <c r="B13" s="243"/>
      <c r="C13" s="244"/>
      <c r="D13" s="248"/>
      <c r="E13" s="240"/>
      <c r="F13" s="240"/>
      <c r="G13" s="307"/>
      <c r="H13" s="244"/>
    </row>
    <row r="14" spans="1:9" ht="28.5" customHeight="1">
      <c r="A14" s="237" t="s">
        <v>102</v>
      </c>
      <c r="B14" s="242" t="s">
        <v>256</v>
      </c>
      <c r="C14" s="250">
        <f>+Ingresos!C13</f>
        <v>560170650.29</v>
      </c>
      <c r="D14" s="248" t="s">
        <v>49</v>
      </c>
      <c r="E14" s="240" t="s">
        <v>118</v>
      </c>
      <c r="F14" s="240"/>
      <c r="G14" s="307" t="s">
        <v>239</v>
      </c>
      <c r="H14" s="320">
        <v>75000000</v>
      </c>
      <c r="I14" s="251"/>
    </row>
    <row r="15" spans="1:9" ht="27" customHeight="1">
      <c r="A15" s="237"/>
      <c r="B15" s="242"/>
      <c r="C15" s="250"/>
      <c r="D15" s="248" t="s">
        <v>109</v>
      </c>
      <c r="E15" s="240" t="s">
        <v>110</v>
      </c>
      <c r="F15" s="240"/>
      <c r="G15" s="307" t="s">
        <v>326</v>
      </c>
      <c r="H15" s="320">
        <v>7500000</v>
      </c>
      <c r="I15" s="251"/>
    </row>
    <row r="16" spans="1:9" ht="35.25" customHeight="1">
      <c r="A16" s="237"/>
      <c r="B16" s="242"/>
      <c r="C16" s="250"/>
      <c r="D16" s="248" t="s">
        <v>109</v>
      </c>
      <c r="E16" s="240" t="s">
        <v>341</v>
      </c>
      <c r="F16" s="240"/>
      <c r="G16" s="307" t="s">
        <v>342</v>
      </c>
      <c r="H16" s="320">
        <v>11000000</v>
      </c>
      <c r="I16" s="251"/>
    </row>
    <row r="17" spans="1:9" ht="40.5" customHeight="1">
      <c r="A17" s="237"/>
      <c r="B17" s="242"/>
      <c r="C17" s="250"/>
      <c r="D17" s="248" t="s">
        <v>109</v>
      </c>
      <c r="E17" s="240" t="s">
        <v>255</v>
      </c>
      <c r="F17" s="240"/>
      <c r="G17" s="307" t="s">
        <v>325</v>
      </c>
      <c r="H17" s="320">
        <v>176112002.06</v>
      </c>
      <c r="I17" s="251"/>
    </row>
    <row r="18" spans="1:8" ht="37.5" customHeight="1">
      <c r="A18" s="237"/>
      <c r="B18" s="242"/>
      <c r="C18" s="250"/>
      <c r="D18" s="248" t="s">
        <v>142</v>
      </c>
      <c r="E18" s="240" t="s">
        <v>185</v>
      </c>
      <c r="F18" s="240" t="s">
        <v>118</v>
      </c>
      <c r="G18" s="307" t="s">
        <v>360</v>
      </c>
      <c r="H18" s="320">
        <v>6292892.23</v>
      </c>
    </row>
    <row r="19" spans="1:8" ht="30.75" customHeight="1">
      <c r="A19" s="237"/>
      <c r="B19" s="242"/>
      <c r="C19" s="250"/>
      <c r="D19" s="248" t="s">
        <v>109</v>
      </c>
      <c r="E19" s="240" t="s">
        <v>174</v>
      </c>
      <c r="F19" s="227"/>
      <c r="G19" s="321" t="s">
        <v>380</v>
      </c>
      <c r="H19" s="320">
        <v>56000000</v>
      </c>
    </row>
    <row r="20" spans="1:8" ht="33.75" customHeight="1">
      <c r="A20" s="237"/>
      <c r="B20" s="242"/>
      <c r="C20" s="250"/>
      <c r="D20" s="248" t="s">
        <v>142</v>
      </c>
      <c r="E20" s="240" t="s">
        <v>119</v>
      </c>
      <c r="F20" s="227"/>
      <c r="G20" s="321" t="s">
        <v>374</v>
      </c>
      <c r="H20" s="320">
        <v>50000000</v>
      </c>
    </row>
    <row r="21" spans="1:8" ht="29.25" customHeight="1">
      <c r="A21" s="237"/>
      <c r="B21" s="242"/>
      <c r="C21" s="250"/>
      <c r="D21" s="248" t="s">
        <v>142</v>
      </c>
      <c r="E21" s="240" t="s">
        <v>119</v>
      </c>
      <c r="F21" s="227"/>
      <c r="G21" s="321" t="s">
        <v>378</v>
      </c>
      <c r="H21" s="320">
        <v>40000000</v>
      </c>
    </row>
    <row r="22" spans="1:8" ht="40.5" customHeight="1">
      <c r="A22" s="237"/>
      <c r="B22" s="242"/>
      <c r="C22" s="250"/>
      <c r="D22" s="248" t="s">
        <v>142</v>
      </c>
      <c r="E22" s="240" t="s">
        <v>155</v>
      </c>
      <c r="F22" s="227"/>
      <c r="G22" s="324" t="s">
        <v>440</v>
      </c>
      <c r="H22" s="320">
        <v>41432043.41</v>
      </c>
    </row>
    <row r="23" spans="1:8" ht="19.5" customHeight="1">
      <c r="A23" s="237"/>
      <c r="B23" s="242"/>
      <c r="C23" s="250"/>
      <c r="D23" s="248" t="s">
        <v>142</v>
      </c>
      <c r="E23" s="240" t="s">
        <v>118</v>
      </c>
      <c r="F23" s="227"/>
      <c r="G23" s="324" t="s">
        <v>448</v>
      </c>
      <c r="H23" s="320">
        <f>81833712.59+15000000</f>
        <v>96833712.59</v>
      </c>
    </row>
    <row r="24" spans="1:11" ht="15" customHeight="1">
      <c r="A24" s="237"/>
      <c r="B24" s="242"/>
      <c r="C24" s="250"/>
      <c r="D24" s="245"/>
      <c r="E24" s="246"/>
      <c r="F24" s="246"/>
      <c r="G24" s="319"/>
      <c r="H24" s="226">
        <f>SUM(H14:H23)</f>
        <v>560170650.2900001</v>
      </c>
      <c r="I24" s="255"/>
      <c r="J24" s="249"/>
      <c r="K24" s="249"/>
    </row>
    <row r="25" spans="1:10" ht="30.75" customHeight="1">
      <c r="A25" s="237" t="s">
        <v>103</v>
      </c>
      <c r="B25" s="299" t="s">
        <v>257</v>
      </c>
      <c r="C25" s="256">
        <f>+SUM(C26:C77)</f>
        <v>442360386.91999996</v>
      </c>
      <c r="D25" s="306"/>
      <c r="E25" s="240"/>
      <c r="F25" s="240"/>
      <c r="G25" s="307"/>
      <c r="H25" s="244"/>
      <c r="J25" s="249"/>
    </row>
    <row r="26" spans="1:10" ht="48.75" customHeight="1">
      <c r="A26" s="237"/>
      <c r="B26" s="253" t="s">
        <v>144</v>
      </c>
      <c r="C26" s="260">
        <v>3650314.35</v>
      </c>
      <c r="D26" s="322" t="s">
        <v>49</v>
      </c>
      <c r="E26" s="323" t="s">
        <v>111</v>
      </c>
      <c r="F26" s="323"/>
      <c r="G26" s="324" t="s">
        <v>149</v>
      </c>
      <c r="H26" s="260">
        <f>+C26</f>
        <v>3650314.35</v>
      </c>
      <c r="I26" s="255"/>
      <c r="J26" s="249"/>
    </row>
    <row r="27" spans="1:9" ht="41.25" customHeight="1">
      <c r="A27" s="237"/>
      <c r="B27" s="253" t="s">
        <v>235</v>
      </c>
      <c r="C27" s="260">
        <v>7739186.68</v>
      </c>
      <c r="D27" s="322" t="s">
        <v>49</v>
      </c>
      <c r="E27" s="323" t="s">
        <v>111</v>
      </c>
      <c r="F27" s="323"/>
      <c r="G27" s="253" t="s">
        <v>235</v>
      </c>
      <c r="H27" s="260">
        <f>+C27</f>
        <v>7739186.68</v>
      </c>
      <c r="I27" s="251"/>
    </row>
    <row r="28" spans="1:9" ht="49.5" customHeight="1">
      <c r="A28" s="237"/>
      <c r="B28" s="253" t="s">
        <v>331</v>
      </c>
      <c r="C28" s="260">
        <v>1424286.34</v>
      </c>
      <c r="D28" s="322" t="s">
        <v>49</v>
      </c>
      <c r="E28" s="323" t="s">
        <v>111</v>
      </c>
      <c r="F28" s="323"/>
      <c r="G28" s="324" t="s">
        <v>332</v>
      </c>
      <c r="H28" s="260">
        <f>+C28</f>
        <v>1424286.34</v>
      </c>
      <c r="I28" s="251"/>
    </row>
    <row r="29" spans="1:9" ht="41.25" customHeight="1">
      <c r="A29" s="237"/>
      <c r="B29" s="253" t="s">
        <v>250</v>
      </c>
      <c r="C29" s="264">
        <v>47189656.89</v>
      </c>
      <c r="D29" s="322" t="s">
        <v>142</v>
      </c>
      <c r="E29" s="323" t="s">
        <v>155</v>
      </c>
      <c r="F29" s="323"/>
      <c r="G29" s="324" t="s">
        <v>323</v>
      </c>
      <c r="H29" s="264">
        <f>+C29</f>
        <v>47189656.89</v>
      </c>
      <c r="I29" s="251"/>
    </row>
    <row r="30" spans="1:9" ht="19.5" customHeight="1">
      <c r="A30" s="237"/>
      <c r="B30" s="253"/>
      <c r="C30" s="264"/>
      <c r="D30" s="322"/>
      <c r="E30" s="323"/>
      <c r="F30" s="323"/>
      <c r="G30" s="324"/>
      <c r="H30" s="264"/>
      <c r="I30" s="251"/>
    </row>
    <row r="31" spans="1:9" ht="34.5" customHeight="1">
      <c r="A31" s="237"/>
      <c r="B31" s="302" t="s">
        <v>171</v>
      </c>
      <c r="C31" s="269">
        <v>123866219.29</v>
      </c>
      <c r="D31" s="322" t="s">
        <v>109</v>
      </c>
      <c r="E31" s="323" t="s">
        <v>197</v>
      </c>
      <c r="F31" s="323"/>
      <c r="G31" s="324" t="s">
        <v>340</v>
      </c>
      <c r="H31" s="264">
        <f>24786077.49-1464449.31</f>
        <v>23321628.18</v>
      </c>
      <c r="I31" s="251"/>
    </row>
    <row r="32" spans="1:9" ht="33" customHeight="1">
      <c r="A32" s="237"/>
      <c r="B32" s="300"/>
      <c r="C32" s="260"/>
      <c r="D32" s="322" t="s">
        <v>142</v>
      </c>
      <c r="E32" s="323" t="s">
        <v>119</v>
      </c>
      <c r="F32" s="323"/>
      <c r="G32" s="324" t="s">
        <v>366</v>
      </c>
      <c r="H32" s="264">
        <v>30000000</v>
      </c>
      <c r="I32" s="251"/>
    </row>
    <row r="33" spans="1:9" ht="21" customHeight="1">
      <c r="A33" s="237"/>
      <c r="B33" s="300"/>
      <c r="C33" s="260"/>
      <c r="D33" s="322" t="s">
        <v>142</v>
      </c>
      <c r="E33" s="323" t="s">
        <v>119</v>
      </c>
      <c r="F33" s="323"/>
      <c r="G33" s="324" t="s">
        <v>372</v>
      </c>
      <c r="H33" s="264">
        <v>20000000</v>
      </c>
      <c r="I33" s="251"/>
    </row>
    <row r="34" spans="1:9" ht="47.25" customHeight="1">
      <c r="A34" s="237"/>
      <c r="B34" s="300"/>
      <c r="C34" s="260"/>
      <c r="D34" s="322" t="s">
        <v>142</v>
      </c>
      <c r="E34" s="323" t="s">
        <v>119</v>
      </c>
      <c r="F34" s="323"/>
      <c r="G34" s="324" t="s">
        <v>368</v>
      </c>
      <c r="H34" s="264">
        <v>11000000</v>
      </c>
      <c r="I34" s="251"/>
    </row>
    <row r="35" spans="1:9" ht="30" customHeight="1">
      <c r="A35" s="259"/>
      <c r="B35" s="300"/>
      <c r="C35" s="260"/>
      <c r="D35" s="322" t="s">
        <v>142</v>
      </c>
      <c r="E35" s="323" t="s">
        <v>155</v>
      </c>
      <c r="F35" s="262"/>
      <c r="G35" s="324" t="s">
        <v>440</v>
      </c>
      <c r="H35" s="264">
        <v>11378299.7</v>
      </c>
      <c r="I35" s="251"/>
    </row>
    <row r="36" spans="1:9" ht="22.5" customHeight="1">
      <c r="A36" s="259"/>
      <c r="B36" s="300"/>
      <c r="C36" s="367"/>
      <c r="D36" s="248" t="s">
        <v>142</v>
      </c>
      <c r="E36" s="240" t="s">
        <v>118</v>
      </c>
      <c r="F36" s="227"/>
      <c r="G36" s="324" t="s">
        <v>437</v>
      </c>
      <c r="H36" s="369">
        <v>25000000</v>
      </c>
      <c r="I36" s="251"/>
    </row>
    <row r="37" spans="1:9" ht="22.5" customHeight="1">
      <c r="A37" s="259"/>
      <c r="B37" s="300"/>
      <c r="C37" s="367"/>
      <c r="D37" s="248" t="s">
        <v>142</v>
      </c>
      <c r="E37" s="240" t="s">
        <v>118</v>
      </c>
      <c r="F37" s="227"/>
      <c r="G37" s="324" t="s">
        <v>448</v>
      </c>
      <c r="H37" s="369">
        <v>3166291.41</v>
      </c>
      <c r="I37" s="251"/>
    </row>
    <row r="38" spans="1:9" ht="15" customHeight="1">
      <c r="A38" s="259"/>
      <c r="B38" s="301"/>
      <c r="C38" s="260"/>
      <c r="D38" s="245"/>
      <c r="E38" s="246"/>
      <c r="F38" s="246"/>
      <c r="G38" s="247"/>
      <c r="H38" s="270">
        <f>SUM(H31:H37)</f>
        <v>123866219.29</v>
      </c>
      <c r="I38" s="251">
        <f>+C31-H38</f>
        <v>0</v>
      </c>
    </row>
    <row r="39" spans="1:9" ht="15" customHeight="1">
      <c r="A39" s="259"/>
      <c r="B39" s="301"/>
      <c r="C39" s="260"/>
      <c r="D39" s="257"/>
      <c r="E39" s="239"/>
      <c r="F39" s="239"/>
      <c r="G39" s="241"/>
      <c r="H39" s="271"/>
      <c r="I39" s="251"/>
    </row>
    <row r="40" spans="1:9" ht="30" customHeight="1">
      <c r="A40" s="259"/>
      <c r="B40" s="302" t="s">
        <v>152</v>
      </c>
      <c r="C40" s="269">
        <v>318166291.41</v>
      </c>
      <c r="D40" s="261" t="s">
        <v>142</v>
      </c>
      <c r="E40" s="262" t="s">
        <v>119</v>
      </c>
      <c r="F40" s="262"/>
      <c r="G40" s="263" t="s">
        <v>355</v>
      </c>
      <c r="H40" s="271">
        <v>50000000</v>
      </c>
      <c r="I40" s="251"/>
    </row>
    <row r="41" spans="1:9" ht="42.75" customHeight="1">
      <c r="A41" s="259"/>
      <c r="B41" s="302"/>
      <c r="C41" s="269"/>
      <c r="D41" s="261" t="s">
        <v>142</v>
      </c>
      <c r="E41" s="262" t="s">
        <v>185</v>
      </c>
      <c r="F41" s="262"/>
      <c r="G41" s="263" t="s">
        <v>379</v>
      </c>
      <c r="H41" s="271">
        <v>15000000</v>
      </c>
      <c r="I41" s="251"/>
    </row>
    <row r="42" spans="1:9" ht="28.5" customHeight="1">
      <c r="A42" s="259"/>
      <c r="B42" s="302"/>
      <c r="C42" s="269"/>
      <c r="D42" s="261" t="s">
        <v>142</v>
      </c>
      <c r="E42" s="262" t="s">
        <v>119</v>
      </c>
      <c r="F42" s="262"/>
      <c r="G42" s="263" t="s">
        <v>373</v>
      </c>
      <c r="H42" s="271">
        <v>100000000</v>
      </c>
      <c r="I42" s="251"/>
    </row>
    <row r="43" spans="1:9" ht="19.5" customHeight="1">
      <c r="A43" s="259"/>
      <c r="B43" s="300"/>
      <c r="C43" s="260"/>
      <c r="D43" s="261" t="s">
        <v>142</v>
      </c>
      <c r="E43" s="262" t="s">
        <v>185</v>
      </c>
      <c r="F43" s="262"/>
      <c r="G43" s="263" t="s">
        <v>439</v>
      </c>
      <c r="H43" s="271">
        <v>100000000</v>
      </c>
      <c r="I43" s="251"/>
    </row>
    <row r="44" spans="1:9" ht="40.5" customHeight="1">
      <c r="A44" s="259"/>
      <c r="B44" s="300"/>
      <c r="C44" s="367"/>
      <c r="D44" s="322" t="s">
        <v>142</v>
      </c>
      <c r="E44" s="323" t="s">
        <v>185</v>
      </c>
      <c r="F44" s="262"/>
      <c r="G44" s="324" t="s">
        <v>370</v>
      </c>
      <c r="H44" s="264">
        <v>15000000</v>
      </c>
      <c r="I44" s="251"/>
    </row>
    <row r="45" spans="1:9" ht="22.5" customHeight="1">
      <c r="A45" s="259"/>
      <c r="B45" s="300"/>
      <c r="C45" s="367"/>
      <c r="D45" s="322" t="s">
        <v>338</v>
      </c>
      <c r="E45" s="323" t="s">
        <v>110</v>
      </c>
      <c r="F45" s="262"/>
      <c r="G45" s="263" t="s">
        <v>210</v>
      </c>
      <c r="H45" s="264">
        <v>10000000</v>
      </c>
      <c r="I45" s="251"/>
    </row>
    <row r="46" spans="1:9" ht="26.25" customHeight="1">
      <c r="A46" s="259"/>
      <c r="B46" s="300"/>
      <c r="C46" s="367"/>
      <c r="D46" s="322" t="s">
        <v>142</v>
      </c>
      <c r="E46" s="323" t="s">
        <v>185</v>
      </c>
      <c r="F46" s="323"/>
      <c r="G46" s="324" t="s">
        <v>401</v>
      </c>
      <c r="H46" s="264">
        <v>11701842.1</v>
      </c>
      <c r="I46" s="251"/>
    </row>
    <row r="47" spans="1:9" ht="26.25" customHeight="1">
      <c r="A47" s="259"/>
      <c r="B47" s="300"/>
      <c r="C47" s="367"/>
      <c r="D47" s="322" t="s">
        <v>109</v>
      </c>
      <c r="E47" s="323" t="s">
        <v>197</v>
      </c>
      <c r="F47" s="323"/>
      <c r="G47" s="263" t="s">
        <v>450</v>
      </c>
      <c r="H47" s="369">
        <v>1464449.31</v>
      </c>
      <c r="I47" s="251"/>
    </row>
    <row r="48" spans="1:9" ht="25.5" customHeight="1">
      <c r="A48" s="259"/>
      <c r="B48" s="300"/>
      <c r="C48" s="367"/>
      <c r="D48" s="322" t="s">
        <v>109</v>
      </c>
      <c r="E48" s="323" t="s">
        <v>341</v>
      </c>
      <c r="F48" s="323"/>
      <c r="G48" s="263" t="s">
        <v>342</v>
      </c>
      <c r="H48" s="369">
        <v>15000000</v>
      </c>
      <c r="I48" s="251"/>
    </row>
    <row r="49" spans="1:9" ht="30" customHeight="1">
      <c r="A49" s="259"/>
      <c r="B49" s="300"/>
      <c r="C49" s="260"/>
      <c r="D49" s="245"/>
      <c r="E49" s="246"/>
      <c r="F49" s="246"/>
      <c r="G49" s="247"/>
      <c r="H49" s="270">
        <f>SUM(H40:H48)</f>
        <v>318166291.41</v>
      </c>
      <c r="I49" s="251"/>
    </row>
    <row r="50" spans="1:9" ht="30" customHeight="1">
      <c r="A50" s="259"/>
      <c r="B50" s="300"/>
      <c r="C50" s="260"/>
      <c r="D50" s="261"/>
      <c r="E50" s="262"/>
      <c r="F50" s="262"/>
      <c r="G50" s="263"/>
      <c r="H50" s="254"/>
      <c r="I50" s="251"/>
    </row>
    <row r="51" spans="1:10" ht="21" customHeight="1">
      <c r="A51" s="274"/>
      <c r="B51" s="303" t="s">
        <v>162</v>
      </c>
      <c r="C51" s="278">
        <v>43317200</v>
      </c>
      <c r="D51" s="261" t="s">
        <v>142</v>
      </c>
      <c r="E51" s="262" t="s">
        <v>118</v>
      </c>
      <c r="F51" s="262"/>
      <c r="G51" s="263" t="s">
        <v>327</v>
      </c>
      <c r="H51" s="265">
        <v>43317200</v>
      </c>
      <c r="J51" s="87"/>
    </row>
    <row r="52" spans="1:10" ht="24.75" customHeight="1">
      <c r="A52" s="274"/>
      <c r="B52" s="303"/>
      <c r="C52" s="278"/>
      <c r="D52" s="245"/>
      <c r="E52" s="246"/>
      <c r="F52" s="246"/>
      <c r="G52" s="247"/>
      <c r="H52" s="270">
        <f>SUM(H51:H51)</f>
        <v>43317200</v>
      </c>
      <c r="I52" s="255"/>
      <c r="J52" s="87"/>
    </row>
    <row r="53" spans="1:10" ht="21" customHeight="1">
      <c r="A53" s="274"/>
      <c r="B53" s="303"/>
      <c r="C53" s="278"/>
      <c r="D53" s="261"/>
      <c r="E53" s="262"/>
      <c r="F53" s="262"/>
      <c r="G53" s="263"/>
      <c r="H53" s="265"/>
      <c r="J53" s="87"/>
    </row>
    <row r="54" spans="1:8" ht="33" customHeight="1">
      <c r="A54" s="259"/>
      <c r="B54" s="302" t="s">
        <v>150</v>
      </c>
      <c r="C54" s="278">
        <v>9497067.3</v>
      </c>
      <c r="D54" s="261" t="s">
        <v>109</v>
      </c>
      <c r="E54" s="262" t="s">
        <v>51</v>
      </c>
      <c r="F54" s="262"/>
      <c r="G54" s="275" t="s">
        <v>151</v>
      </c>
      <c r="H54" s="265">
        <f>+C54</f>
        <v>9497067.3</v>
      </c>
    </row>
    <row r="55" spans="1:9" s="268" customFormat="1" ht="19.5" customHeight="1">
      <c r="A55" s="266"/>
      <c r="B55" s="300"/>
      <c r="C55" s="264"/>
      <c r="D55" s="261"/>
      <c r="E55" s="262"/>
      <c r="F55" s="262"/>
      <c r="G55" s="276"/>
      <c r="H55" s="264"/>
      <c r="I55" s="277"/>
    </row>
    <row r="56" spans="1:9" s="268" customFormat="1" ht="33" customHeight="1">
      <c r="A56" s="266"/>
      <c r="B56" s="302" t="s">
        <v>329</v>
      </c>
      <c r="C56" s="278">
        <v>3312443.42</v>
      </c>
      <c r="D56" s="261" t="s">
        <v>109</v>
      </c>
      <c r="E56" s="262" t="s">
        <v>110</v>
      </c>
      <c r="F56" s="262"/>
      <c r="G56" s="252" t="s">
        <v>210</v>
      </c>
      <c r="H56" s="264">
        <f>+C56</f>
        <v>3312443.42</v>
      </c>
      <c r="I56" s="267"/>
    </row>
    <row r="57" spans="1:9" s="268" customFormat="1" ht="19.5" customHeight="1">
      <c r="A57" s="266"/>
      <c r="B57" s="300"/>
      <c r="C57" s="264"/>
      <c r="D57" s="261"/>
      <c r="E57" s="262"/>
      <c r="F57" s="262"/>
      <c r="G57" s="275"/>
      <c r="H57" s="264"/>
      <c r="I57" s="277"/>
    </row>
    <row r="58" spans="1:9" ht="24.75" customHeight="1">
      <c r="A58" s="259"/>
      <c r="B58" s="363" t="s">
        <v>172</v>
      </c>
      <c r="C58" s="362">
        <v>1535122.77</v>
      </c>
      <c r="D58" s="261" t="s">
        <v>109</v>
      </c>
      <c r="E58" s="262" t="s">
        <v>186</v>
      </c>
      <c r="F58" s="262"/>
      <c r="G58" s="275" t="s">
        <v>214</v>
      </c>
      <c r="H58" s="254">
        <f>+C58</f>
        <v>1535122.77</v>
      </c>
      <c r="I58" s="267"/>
    </row>
    <row r="59" spans="1:9" ht="33.75" customHeight="1">
      <c r="A59" s="274"/>
      <c r="B59" s="363" t="s">
        <v>153</v>
      </c>
      <c r="C59" s="362">
        <v>58847097.39</v>
      </c>
      <c r="D59" s="261" t="s">
        <v>142</v>
      </c>
      <c r="E59" s="262" t="s">
        <v>119</v>
      </c>
      <c r="F59" s="262" t="s">
        <v>118</v>
      </c>
      <c r="G59" s="280" t="s">
        <v>333</v>
      </c>
      <c r="H59" s="254">
        <f>+C59</f>
        <v>58847097.39</v>
      </c>
      <c r="I59" s="267"/>
    </row>
    <row r="60" spans="1:9" ht="15" customHeight="1">
      <c r="A60" s="274"/>
      <c r="B60" s="363" t="s">
        <v>154</v>
      </c>
      <c r="C60" s="362">
        <v>1136598.7</v>
      </c>
      <c r="D60" s="261" t="s">
        <v>109</v>
      </c>
      <c r="E60" s="262" t="s">
        <v>110</v>
      </c>
      <c r="F60" s="262"/>
      <c r="G60" s="280" t="s">
        <v>210</v>
      </c>
      <c r="H60" s="254">
        <f>+C60</f>
        <v>1136598.7</v>
      </c>
      <c r="I60" s="267"/>
    </row>
    <row r="61" spans="1:9" ht="15" customHeight="1">
      <c r="A61" s="274"/>
      <c r="B61" s="300"/>
      <c r="C61" s="264"/>
      <c r="D61" s="261"/>
      <c r="E61" s="262"/>
      <c r="F61" s="262"/>
      <c r="G61" s="280"/>
      <c r="H61" s="254"/>
      <c r="I61" s="267"/>
    </row>
    <row r="62" spans="1:9" ht="31.5" customHeight="1">
      <c r="A62" s="274"/>
      <c r="B62" s="302" t="s">
        <v>236</v>
      </c>
      <c r="C62" s="278">
        <v>1040352.85</v>
      </c>
      <c r="D62" s="257" t="s">
        <v>142</v>
      </c>
      <c r="E62" s="239" t="s">
        <v>118</v>
      </c>
      <c r="F62" s="239"/>
      <c r="G62" s="280" t="s">
        <v>205</v>
      </c>
      <c r="H62" s="254">
        <v>312235.35</v>
      </c>
      <c r="I62" s="267"/>
    </row>
    <row r="63" spans="1:9" ht="28.5" customHeight="1">
      <c r="A63" s="274"/>
      <c r="B63" s="302"/>
      <c r="C63" s="325"/>
      <c r="D63" s="257" t="s">
        <v>142</v>
      </c>
      <c r="E63" s="239" t="s">
        <v>118</v>
      </c>
      <c r="F63" s="239"/>
      <c r="G63" s="280" t="s">
        <v>334</v>
      </c>
      <c r="H63" s="254">
        <v>728117.5</v>
      </c>
      <c r="I63" s="267"/>
    </row>
    <row r="64" spans="1:8" ht="17.25" customHeight="1">
      <c r="A64" s="274"/>
      <c r="B64" s="301"/>
      <c r="C64" s="281"/>
      <c r="D64" s="245"/>
      <c r="E64" s="246"/>
      <c r="F64" s="246"/>
      <c r="G64" s="247"/>
      <c r="H64" s="270">
        <f>SUM(H62:H63)</f>
        <v>1040352.85</v>
      </c>
    </row>
    <row r="65" spans="1:8" ht="17.25" customHeight="1">
      <c r="A65" s="305"/>
      <c r="B65" s="300"/>
      <c r="C65" s="281"/>
      <c r="D65" s="272"/>
      <c r="E65" s="262"/>
      <c r="F65" s="262"/>
      <c r="G65" s="273"/>
      <c r="H65" s="279"/>
    </row>
    <row r="66" spans="1:8" ht="33" customHeight="1">
      <c r="A66" s="274"/>
      <c r="B66" s="302" t="s">
        <v>237</v>
      </c>
      <c r="C66" s="278">
        <v>26043574.62</v>
      </c>
      <c r="D66" s="257" t="s">
        <v>142</v>
      </c>
      <c r="E66" s="239" t="s">
        <v>118</v>
      </c>
      <c r="F66" s="239"/>
      <c r="G66" s="258" t="s">
        <v>206</v>
      </c>
      <c r="H66" s="131">
        <v>2121548.73</v>
      </c>
    </row>
    <row r="67" spans="1:8" ht="30.75" customHeight="1">
      <c r="A67" s="274"/>
      <c r="B67" s="301"/>
      <c r="C67" s="264"/>
      <c r="D67" s="257" t="s">
        <v>109</v>
      </c>
      <c r="E67" s="239" t="s">
        <v>174</v>
      </c>
      <c r="F67" s="239"/>
      <c r="G67" s="258" t="s">
        <v>215</v>
      </c>
      <c r="H67" s="131">
        <f>22251261.29+1670764.6</f>
        <v>23922025.89</v>
      </c>
    </row>
    <row r="68" spans="1:8" ht="14.25" customHeight="1">
      <c r="A68" s="274"/>
      <c r="B68" s="301"/>
      <c r="C68" s="264"/>
      <c r="D68" s="245"/>
      <c r="E68" s="246"/>
      <c r="F68" s="246"/>
      <c r="G68" s="247"/>
      <c r="H68" s="270">
        <f>SUM(H66:H67)</f>
        <v>26043574.62</v>
      </c>
    </row>
    <row r="69" spans="1:8" ht="14.25" customHeight="1">
      <c r="A69" s="274"/>
      <c r="B69" s="301"/>
      <c r="C69" s="264"/>
      <c r="D69" s="257"/>
      <c r="E69" s="239"/>
      <c r="F69" s="239"/>
      <c r="G69" s="258"/>
      <c r="H69" s="282"/>
    </row>
    <row r="70" spans="1:8" ht="44.25" customHeight="1">
      <c r="A70" s="274"/>
      <c r="B70" s="301" t="s">
        <v>337</v>
      </c>
      <c r="C70" s="264">
        <v>-25000000</v>
      </c>
      <c r="D70" s="257" t="s">
        <v>338</v>
      </c>
      <c r="E70" s="239" t="s">
        <v>174</v>
      </c>
      <c r="F70" s="239"/>
      <c r="G70" s="258" t="s">
        <v>215</v>
      </c>
      <c r="H70" s="264">
        <f>+C70</f>
        <v>-25000000</v>
      </c>
    </row>
    <row r="71" spans="1:9" ht="14.25" customHeight="1">
      <c r="A71" s="274"/>
      <c r="B71" s="301" t="s">
        <v>212</v>
      </c>
      <c r="C71" s="264">
        <v>322574.35</v>
      </c>
      <c r="D71" s="257" t="s">
        <v>142</v>
      </c>
      <c r="E71" s="239" t="s">
        <v>118</v>
      </c>
      <c r="F71" s="239"/>
      <c r="G71" s="258" t="s">
        <v>220</v>
      </c>
      <c r="H71" s="282">
        <f>+C71</f>
        <v>322574.35</v>
      </c>
      <c r="I71" s="251"/>
    </row>
    <row r="72" spans="1:9" ht="14.25" customHeight="1">
      <c r="A72" s="274"/>
      <c r="B72" s="301"/>
      <c r="C72" s="264"/>
      <c r="D72" s="306"/>
      <c r="E72" s="240"/>
      <c r="F72" s="240"/>
      <c r="G72" s="307"/>
      <c r="H72" s="282"/>
      <c r="I72" s="251"/>
    </row>
    <row r="73" spans="1:9" ht="32.25" customHeight="1">
      <c r="A73" s="274"/>
      <c r="B73" s="301" t="s">
        <v>330</v>
      </c>
      <c r="C73" s="264">
        <v>3733922.51</v>
      </c>
      <c r="D73" s="306" t="s">
        <v>109</v>
      </c>
      <c r="E73" s="240" t="s">
        <v>197</v>
      </c>
      <c r="F73" s="240"/>
      <c r="G73" s="307" t="s">
        <v>243</v>
      </c>
      <c r="H73" s="282">
        <f>+C73</f>
        <v>3733922.51</v>
      </c>
      <c r="I73" s="251"/>
    </row>
    <row r="74" spans="1:8" ht="13.5" customHeight="1">
      <c r="A74" s="274"/>
      <c r="B74" s="301"/>
      <c r="C74" s="264"/>
      <c r="D74" s="306"/>
      <c r="E74" s="240"/>
      <c r="F74" s="240"/>
      <c r="G74" s="307"/>
      <c r="H74" s="282"/>
    </row>
    <row r="75" spans="1:8" ht="28.5" customHeight="1">
      <c r="A75" s="274"/>
      <c r="B75" s="301" t="s">
        <v>335</v>
      </c>
      <c r="C75" s="264">
        <v>-215720161.08</v>
      </c>
      <c r="D75" s="306" t="s">
        <v>109</v>
      </c>
      <c r="E75" s="240" t="s">
        <v>119</v>
      </c>
      <c r="F75" s="240"/>
      <c r="G75" s="307" t="s">
        <v>336</v>
      </c>
      <c r="H75" s="282">
        <f>+C75</f>
        <v>-215720161.08</v>
      </c>
    </row>
    <row r="76" spans="1:8" ht="28.5" customHeight="1">
      <c r="A76" s="274"/>
      <c r="B76" s="301"/>
      <c r="C76" s="264"/>
      <c r="D76" s="306"/>
      <c r="E76" s="240"/>
      <c r="F76" s="240"/>
      <c r="G76" s="307"/>
      <c r="H76" s="282"/>
    </row>
    <row r="77" spans="1:11" ht="43.5" customHeight="1">
      <c r="A77" s="274"/>
      <c r="B77" s="302" t="s">
        <v>50</v>
      </c>
      <c r="C77" s="278">
        <f>34257653.62-1999014.49</f>
        <v>32258639.13</v>
      </c>
      <c r="D77" s="361" t="s">
        <v>111</v>
      </c>
      <c r="E77" s="240" t="s">
        <v>118</v>
      </c>
      <c r="F77" s="146"/>
      <c r="G77" s="307" t="s">
        <v>267</v>
      </c>
      <c r="H77" s="282">
        <v>2461.9</v>
      </c>
      <c r="I77" s="283"/>
      <c r="J77" s="249"/>
      <c r="K77" s="249"/>
    </row>
    <row r="78" spans="1:11" ht="46.5" customHeight="1">
      <c r="A78" s="274"/>
      <c r="B78" s="301"/>
      <c r="C78" s="264"/>
      <c r="D78" s="361" t="s">
        <v>111</v>
      </c>
      <c r="E78" s="240" t="s">
        <v>118</v>
      </c>
      <c r="F78" s="284"/>
      <c r="G78" s="307" t="s">
        <v>436</v>
      </c>
      <c r="H78" s="282">
        <v>53044</v>
      </c>
      <c r="I78" s="283"/>
      <c r="J78" s="249"/>
      <c r="K78" s="249"/>
    </row>
    <row r="79" spans="1:11" ht="36" customHeight="1">
      <c r="A79" s="274"/>
      <c r="B79" s="301"/>
      <c r="C79" s="264"/>
      <c r="D79" s="306" t="s">
        <v>111</v>
      </c>
      <c r="E79" s="240" t="s">
        <v>119</v>
      </c>
      <c r="F79" s="284"/>
      <c r="G79" s="307" t="s">
        <v>435</v>
      </c>
      <c r="H79" s="282">
        <f>2990848-1999014.49</f>
        <v>991833.51</v>
      </c>
      <c r="I79" s="283"/>
      <c r="J79" s="249"/>
      <c r="K79" s="249"/>
    </row>
    <row r="80" spans="1:11" ht="31.5" customHeight="1">
      <c r="A80" s="274"/>
      <c r="B80" s="301"/>
      <c r="C80" s="264"/>
      <c r="D80" s="306" t="s">
        <v>111</v>
      </c>
      <c r="E80" s="240" t="s">
        <v>119</v>
      </c>
      <c r="F80" s="284"/>
      <c r="G80" s="307" t="s">
        <v>271</v>
      </c>
      <c r="H80" s="282">
        <v>106174</v>
      </c>
      <c r="I80" s="283"/>
      <c r="J80" s="249"/>
      <c r="K80" s="249"/>
    </row>
    <row r="81" spans="1:11" ht="36.75" customHeight="1">
      <c r="A81" s="274"/>
      <c r="B81" s="301"/>
      <c r="C81" s="264"/>
      <c r="D81" s="306" t="s">
        <v>111</v>
      </c>
      <c r="E81" s="240" t="s">
        <v>185</v>
      </c>
      <c r="F81" s="284"/>
      <c r="G81" s="307" t="s">
        <v>434</v>
      </c>
      <c r="H81" s="282">
        <v>14594.05</v>
      </c>
      <c r="I81" s="283"/>
      <c r="J81" s="249"/>
      <c r="K81" s="249"/>
    </row>
    <row r="82" spans="1:11" ht="36.75" customHeight="1">
      <c r="A82" s="274"/>
      <c r="B82" s="301"/>
      <c r="C82" s="264"/>
      <c r="D82" s="306" t="s">
        <v>111</v>
      </c>
      <c r="E82" s="240" t="s">
        <v>185</v>
      </c>
      <c r="F82" s="284"/>
      <c r="G82" s="307" t="s">
        <v>266</v>
      </c>
      <c r="H82" s="282">
        <v>30004654.290000003</v>
      </c>
      <c r="I82" s="283"/>
      <c r="J82" s="249"/>
      <c r="K82" s="249"/>
    </row>
    <row r="83" spans="1:11" ht="36.75" customHeight="1">
      <c r="A83" s="274"/>
      <c r="B83" s="301"/>
      <c r="C83" s="264"/>
      <c r="D83" s="306" t="s">
        <v>111</v>
      </c>
      <c r="E83" s="240" t="s">
        <v>185</v>
      </c>
      <c r="F83" s="284"/>
      <c r="G83" s="307" t="s">
        <v>234</v>
      </c>
      <c r="H83" s="282">
        <v>115750</v>
      </c>
      <c r="I83" s="283"/>
      <c r="J83" s="249"/>
      <c r="K83" s="249"/>
    </row>
    <row r="84" spans="1:11" ht="37.5" customHeight="1">
      <c r="A84" s="274"/>
      <c r="B84" s="301"/>
      <c r="C84" s="264"/>
      <c r="D84" s="306" t="s">
        <v>111</v>
      </c>
      <c r="E84" s="240" t="s">
        <v>155</v>
      </c>
      <c r="F84" s="284"/>
      <c r="G84" s="307" t="s">
        <v>145</v>
      </c>
      <c r="H84" s="282">
        <v>970127.38</v>
      </c>
      <c r="I84" s="283"/>
      <c r="J84" s="249"/>
      <c r="K84" s="249"/>
    </row>
    <row r="85" spans="1:11" ht="30" customHeight="1">
      <c r="A85" s="274"/>
      <c r="B85" s="301"/>
      <c r="C85" s="264"/>
      <c r="D85" s="296"/>
      <c r="E85" s="296"/>
      <c r="F85" s="296"/>
      <c r="G85" s="297"/>
      <c r="H85" s="298">
        <f>SUM(H77:H84)</f>
        <v>32258639.130000003</v>
      </c>
      <c r="I85" s="283"/>
      <c r="J85" s="249"/>
      <c r="K85" s="249"/>
    </row>
    <row r="86" spans="1:11" ht="30" customHeight="1">
      <c r="A86" s="274"/>
      <c r="B86" s="301"/>
      <c r="C86" s="264"/>
      <c r="D86" s="284"/>
      <c r="E86" s="284"/>
      <c r="F86" s="284"/>
      <c r="G86" s="280"/>
      <c r="H86" s="254"/>
      <c r="I86" s="283"/>
      <c r="J86" s="249"/>
      <c r="K86" s="249"/>
    </row>
    <row r="87" spans="1:11" ht="30" customHeight="1">
      <c r="A87" s="274"/>
      <c r="B87" s="301"/>
      <c r="C87" s="264"/>
      <c r="D87" s="245"/>
      <c r="E87" s="246"/>
      <c r="F87" s="246"/>
      <c r="G87" s="247"/>
      <c r="H87" s="270"/>
      <c r="I87" s="283"/>
      <c r="J87" s="249"/>
      <c r="K87" s="249"/>
    </row>
    <row r="88" spans="1:10" ht="17.25" customHeight="1" thickBot="1">
      <c r="A88" s="274"/>
      <c r="B88" s="285"/>
      <c r="C88" s="286"/>
      <c r="D88" s="257"/>
      <c r="E88" s="239"/>
      <c r="F88" s="239"/>
      <c r="G88" s="304"/>
      <c r="H88" s="287"/>
      <c r="J88" s="255"/>
    </row>
    <row r="89" spans="1:10" ht="30" customHeight="1" thickBot="1">
      <c r="A89" s="140" t="s">
        <v>69</v>
      </c>
      <c r="B89" s="140"/>
      <c r="C89" s="288">
        <f>+C8+C10+C14+C25</f>
        <v>1051159116.8899999</v>
      </c>
      <c r="D89" s="140"/>
      <c r="E89" s="140"/>
      <c r="F89" s="140"/>
      <c r="G89" s="140"/>
      <c r="H89" s="288">
        <f>+H8+H12+H24+H26+H27+H28+H29+H38+H49+H52+H54+H56+H58+H59+H60+H64+H68+H70+H71+H73+H75+H85</f>
        <v>1051159116.8899999</v>
      </c>
      <c r="I89" s="255"/>
      <c r="J89" s="255"/>
    </row>
    <row r="90" spans="1:11" s="184" customFormat="1" ht="15" customHeight="1" thickBot="1">
      <c r="A90" s="289"/>
      <c r="B90" s="289"/>
      <c r="C90" s="290"/>
      <c r="D90" s="291"/>
      <c r="E90" s="292"/>
      <c r="F90" s="293"/>
      <c r="G90" s="289"/>
      <c r="H90" s="294"/>
      <c r="I90" s="318"/>
      <c r="J90" s="249"/>
      <c r="K90" s="85"/>
    </row>
    <row r="91" spans="1:10" ht="37.5" customHeight="1" thickBot="1">
      <c r="A91" s="495" t="s">
        <v>449</v>
      </c>
      <c r="B91" s="496"/>
      <c r="C91" s="496"/>
      <c r="D91" s="496"/>
      <c r="E91" s="496"/>
      <c r="F91" s="496"/>
      <c r="G91" s="496"/>
      <c r="H91" s="497"/>
      <c r="I91" s="255"/>
      <c r="J91" s="249"/>
    </row>
    <row r="92" spans="1:10" ht="15" customHeight="1">
      <c r="A92" s="148"/>
      <c r="B92" s="148"/>
      <c r="C92" s="234"/>
      <c r="D92" s="235"/>
      <c r="E92" s="236"/>
      <c r="F92" s="235"/>
      <c r="G92" s="295"/>
      <c r="H92" s="234"/>
      <c r="J92" s="249"/>
    </row>
    <row r="93" spans="1:8" ht="15" customHeight="1">
      <c r="A93" s="148"/>
      <c r="B93" s="148"/>
      <c r="C93" s="234"/>
      <c r="D93" s="235"/>
      <c r="E93" s="236"/>
      <c r="F93" s="235"/>
      <c r="G93" s="295"/>
      <c r="H93" s="234"/>
    </row>
    <row r="94" spans="1:9" ht="15" customHeight="1">
      <c r="A94" s="148"/>
      <c r="B94" s="148"/>
      <c r="C94" s="234"/>
      <c r="D94" s="235"/>
      <c r="E94" s="236"/>
      <c r="F94" s="235"/>
      <c r="G94" s="295"/>
      <c r="H94" s="234"/>
      <c r="I94" s="255"/>
    </row>
    <row r="95" spans="1:8" ht="15" customHeight="1">
      <c r="A95" s="492" t="s">
        <v>53</v>
      </c>
      <c r="B95" s="492"/>
      <c r="C95" s="234"/>
      <c r="D95" s="235"/>
      <c r="E95" s="236"/>
      <c r="F95" s="235"/>
      <c r="G95" s="295"/>
      <c r="H95" s="234"/>
    </row>
    <row r="96" spans="1:8" ht="15" customHeight="1">
      <c r="A96" s="148"/>
      <c r="B96" s="148"/>
      <c r="C96" s="234"/>
      <c r="D96" s="225"/>
      <c r="E96" s="225"/>
      <c r="F96" s="225"/>
      <c r="G96" s="148"/>
      <c r="H96" s="155"/>
    </row>
    <row r="97" spans="1:8" ht="15" customHeight="1">
      <c r="A97" s="148"/>
      <c r="B97" s="148"/>
      <c r="C97" s="234"/>
      <c r="D97" s="225"/>
      <c r="E97" s="225"/>
      <c r="F97" s="225"/>
      <c r="G97" s="148"/>
      <c r="H97" s="234"/>
    </row>
    <row r="98" spans="7:8" ht="15" customHeight="1">
      <c r="G98" s="255"/>
      <c r="H98" s="249"/>
    </row>
    <row r="99" ht="15" customHeight="1"/>
    <row r="100" ht="15" customHeight="1"/>
    <row r="101" ht="15" customHeight="1"/>
    <row r="102" ht="15" customHeight="1"/>
    <row r="103" ht="15" customHeight="1">
      <c r="G103" s="368"/>
    </row>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sheetProtection/>
  <mergeCells count="14">
    <mergeCell ref="A95:B95"/>
    <mergeCell ref="A6:A7"/>
    <mergeCell ref="B6:B7"/>
    <mergeCell ref="C6:C7"/>
    <mergeCell ref="H6:H7"/>
    <mergeCell ref="A91:H91"/>
    <mergeCell ref="A1:H1"/>
    <mergeCell ref="A2:H2"/>
    <mergeCell ref="A3:H3"/>
    <mergeCell ref="A4:H4"/>
    <mergeCell ref="G6:G7"/>
    <mergeCell ref="D6:D7"/>
    <mergeCell ref="E6:E7"/>
    <mergeCell ref="F6:F7"/>
  </mergeCells>
  <printOptions horizontalCentered="1"/>
  <pageMargins left="0.3937007874015748" right="0.3937007874015748" top="0.3937007874015748" bottom="0.3937007874015748" header="0" footer="0"/>
  <pageSetup horizontalDpi="600" verticalDpi="600" orientation="landscape" scale="85" r:id="rId2"/>
  <ignoredErrors>
    <ignoredError sqref="F26" numberStoredAsText="1"/>
    <ignoredError sqref="H26 H27:H28 H59:H60" unlockedFormula="1"/>
  </ignoredErrors>
  <drawing r:id="rId1"/>
</worksheet>
</file>

<file path=xl/worksheets/sheet14.xml><?xml version="1.0" encoding="utf-8"?>
<worksheet xmlns="http://schemas.openxmlformats.org/spreadsheetml/2006/main" xmlns:r="http://schemas.openxmlformats.org/officeDocument/2006/relationships">
  <sheetPr>
    <tabColor indexed="13"/>
  </sheetPr>
  <dimension ref="A1:K37"/>
  <sheetViews>
    <sheetView zoomScalePageLayoutView="0" workbookViewId="0" topLeftCell="A4">
      <selection activeCell="B37" sqref="B37"/>
    </sheetView>
  </sheetViews>
  <sheetFormatPr defaultColWidth="11.421875" defaultRowHeight="12.75"/>
  <cols>
    <col min="1" max="1" width="71.7109375" style="0" customWidth="1"/>
    <col min="2" max="2" width="15.28125" style="58" customWidth="1"/>
  </cols>
  <sheetData>
    <row r="1" spans="1:11" ht="15.75">
      <c r="A1" s="473" t="s">
        <v>18</v>
      </c>
      <c r="B1" s="473"/>
      <c r="C1" s="2"/>
      <c r="D1" s="2"/>
      <c r="E1" s="2"/>
      <c r="F1" s="2"/>
      <c r="G1" s="2"/>
      <c r="H1" s="2"/>
      <c r="I1" s="2"/>
      <c r="J1" s="2"/>
      <c r="K1" s="2"/>
    </row>
    <row r="2" spans="1:11" ht="15.75">
      <c r="A2" s="473" t="s">
        <v>258</v>
      </c>
      <c r="B2" s="473"/>
      <c r="C2" s="2"/>
      <c r="D2" s="2"/>
      <c r="E2" s="2"/>
      <c r="F2" s="2"/>
      <c r="G2" s="2"/>
      <c r="H2" s="2"/>
      <c r="I2" s="2"/>
      <c r="J2" s="2"/>
      <c r="K2" s="2"/>
    </row>
    <row r="3" ht="15">
      <c r="A3" s="37"/>
    </row>
    <row r="4" spans="1:2" ht="15.75">
      <c r="A4" s="498" t="s">
        <v>127</v>
      </c>
      <c r="B4" s="498"/>
    </row>
    <row r="6" spans="1:2" s="34" customFormat="1" ht="15" customHeight="1">
      <c r="A6" s="41" t="s">
        <v>131</v>
      </c>
      <c r="B6" s="59" t="s">
        <v>118</v>
      </c>
    </row>
    <row r="7" spans="1:2" s="34" customFormat="1" ht="15" customHeight="1">
      <c r="A7" s="42"/>
      <c r="B7" s="60"/>
    </row>
    <row r="8" spans="1:2" s="34" customFormat="1" ht="15" customHeight="1">
      <c r="A8" s="41" t="s">
        <v>132</v>
      </c>
      <c r="B8" s="59" t="s">
        <v>119</v>
      </c>
    </row>
    <row r="9" spans="1:2" s="34" customFormat="1" ht="15" customHeight="1">
      <c r="A9" s="42"/>
      <c r="B9" s="61"/>
    </row>
    <row r="10" spans="1:2" s="34" customFormat="1" ht="15" customHeight="1">
      <c r="A10" s="41" t="s">
        <v>140</v>
      </c>
      <c r="B10" s="59" t="s">
        <v>156</v>
      </c>
    </row>
    <row r="11" spans="1:2" s="34" customFormat="1" ht="15" customHeight="1">
      <c r="A11" s="43"/>
      <c r="B11" s="60"/>
    </row>
    <row r="12" spans="1:2" s="34" customFormat="1" ht="15" customHeight="1">
      <c r="A12" s="53" t="s">
        <v>187</v>
      </c>
      <c r="B12" s="59" t="s">
        <v>186</v>
      </c>
    </row>
    <row r="13" spans="1:2" s="34" customFormat="1" ht="15" customHeight="1">
      <c r="A13" s="43"/>
      <c r="B13" s="62"/>
    </row>
    <row r="14" spans="1:2" s="34" customFormat="1" ht="15" customHeight="1">
      <c r="A14" s="41" t="s">
        <v>133</v>
      </c>
      <c r="B14" s="59" t="s">
        <v>185</v>
      </c>
    </row>
    <row r="15" spans="1:2" s="35" customFormat="1" ht="15" customHeight="1">
      <c r="A15" s="43"/>
      <c r="B15" s="61"/>
    </row>
    <row r="16" spans="1:2" s="34" customFormat="1" ht="36" customHeight="1">
      <c r="A16" s="54" t="s">
        <v>163</v>
      </c>
      <c r="B16" s="59" t="s">
        <v>538</v>
      </c>
    </row>
    <row r="17" spans="1:2" s="34" customFormat="1" ht="15" customHeight="1">
      <c r="A17" s="42"/>
      <c r="B17" s="60"/>
    </row>
    <row r="18" spans="1:2" s="34" customFormat="1" ht="17.25" customHeight="1">
      <c r="A18" s="41" t="s">
        <v>62</v>
      </c>
      <c r="B18" s="59" t="s">
        <v>539</v>
      </c>
    </row>
    <row r="19" spans="1:2" s="34" customFormat="1" ht="15" customHeight="1">
      <c r="A19" s="42"/>
      <c r="B19" s="60"/>
    </row>
    <row r="20" spans="1:2" s="34" customFormat="1" ht="15" customHeight="1">
      <c r="A20" s="41" t="s">
        <v>137</v>
      </c>
      <c r="B20" s="59" t="s">
        <v>540</v>
      </c>
    </row>
    <row r="21" spans="1:2" s="34" customFormat="1" ht="15" customHeight="1">
      <c r="A21" s="42"/>
      <c r="B21" s="60"/>
    </row>
    <row r="22" spans="1:2" s="34" customFormat="1" ht="15" customHeight="1">
      <c r="A22" s="41" t="s">
        <v>128</v>
      </c>
      <c r="B22" s="59" t="s">
        <v>188</v>
      </c>
    </row>
    <row r="23" spans="1:2" s="34" customFormat="1" ht="15" customHeight="1">
      <c r="A23" s="42"/>
      <c r="B23" s="60"/>
    </row>
    <row r="24" spans="1:2" s="34" customFormat="1" ht="15" customHeight="1">
      <c r="A24" s="41" t="s">
        <v>129</v>
      </c>
      <c r="B24" s="59" t="s">
        <v>203</v>
      </c>
    </row>
    <row r="25" spans="1:2" s="34" customFormat="1" ht="15" customHeight="1">
      <c r="A25" s="42"/>
      <c r="B25" s="60"/>
    </row>
    <row r="26" spans="1:2" s="34" customFormat="1" ht="15" customHeight="1">
      <c r="A26" s="41" t="s">
        <v>130</v>
      </c>
      <c r="B26" s="59" t="s">
        <v>541</v>
      </c>
    </row>
    <row r="27" spans="1:2" s="34" customFormat="1" ht="15" customHeight="1">
      <c r="A27" s="42"/>
      <c r="B27" s="60"/>
    </row>
    <row r="28" spans="1:4" s="34" customFormat="1" ht="15" customHeight="1">
      <c r="A28" s="41" t="s">
        <v>134</v>
      </c>
      <c r="B28" s="59" t="s">
        <v>254</v>
      </c>
      <c r="D28" s="36"/>
    </row>
    <row r="29" spans="1:2" s="34" customFormat="1" ht="15" customHeight="1">
      <c r="A29" s="42"/>
      <c r="B29" s="60"/>
    </row>
    <row r="30" spans="1:2" s="34" customFormat="1" ht="15" customHeight="1">
      <c r="A30" s="53" t="s">
        <v>164</v>
      </c>
      <c r="B30" s="59" t="s">
        <v>189</v>
      </c>
    </row>
    <row r="31" spans="1:2" s="34" customFormat="1" ht="15" customHeight="1">
      <c r="A31" s="42"/>
      <c r="B31" s="60"/>
    </row>
    <row r="32" spans="1:2" s="34" customFormat="1" ht="15" customHeight="1">
      <c r="A32" s="53" t="s">
        <v>165</v>
      </c>
      <c r="B32" s="59" t="s">
        <v>51</v>
      </c>
    </row>
    <row r="33" spans="1:2" s="34" customFormat="1" ht="15" customHeight="1">
      <c r="A33" s="42"/>
      <c r="B33" s="60"/>
    </row>
    <row r="34" spans="1:2" s="34" customFormat="1" ht="15" customHeight="1">
      <c r="A34" s="53" t="s">
        <v>166</v>
      </c>
      <c r="B34" s="59" t="s">
        <v>542</v>
      </c>
    </row>
    <row r="35" spans="1:2" s="34" customFormat="1" ht="15" customHeight="1">
      <c r="A35" s="42"/>
      <c r="B35" s="60"/>
    </row>
    <row r="36" spans="1:2" s="34" customFormat="1" ht="15" customHeight="1">
      <c r="A36" s="53" t="s">
        <v>167</v>
      </c>
      <c r="B36" s="59" t="s">
        <v>223</v>
      </c>
    </row>
    <row r="37" spans="1:2" s="34" customFormat="1" ht="15" customHeight="1">
      <c r="A37" s="42"/>
      <c r="B37" s="58"/>
    </row>
  </sheetData>
  <sheetProtection/>
  <mergeCells count="3">
    <mergeCell ref="A1:B1"/>
    <mergeCell ref="A2:B2"/>
    <mergeCell ref="A4:B4"/>
  </mergeCells>
  <printOptions horizontalCentered="1"/>
  <pageMargins left="0.7874015748031497" right="0.7874015748031497" top="0.5905511811023623" bottom="0.5905511811023623"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sheetPr>
  <dimension ref="A1:F31"/>
  <sheetViews>
    <sheetView showGridLines="0" zoomScalePageLayoutView="0" workbookViewId="0" topLeftCell="A1">
      <selection activeCell="H26" sqref="H26"/>
    </sheetView>
  </sheetViews>
  <sheetFormatPr defaultColWidth="20.7109375" defaultRowHeight="12.75"/>
  <cols>
    <col min="1" max="1" width="28.00390625" style="119" customWidth="1"/>
    <col min="2" max="2" width="26.8515625" style="119" customWidth="1"/>
    <col min="3" max="3" width="21.57421875" style="119" customWidth="1"/>
    <col min="4" max="4" width="10.57421875" style="119" customWidth="1"/>
    <col min="5" max="5" width="16.140625" style="119" customWidth="1"/>
    <col min="6" max="6" width="14.421875" style="119" customWidth="1"/>
    <col min="7" max="16384" width="20.7109375" style="119" customWidth="1"/>
  </cols>
  <sheetData>
    <row r="1" spans="1:6" ht="15.75" customHeight="1">
      <c r="A1" s="391" t="s">
        <v>18</v>
      </c>
      <c r="B1" s="391"/>
      <c r="C1" s="391"/>
      <c r="D1" s="391"/>
      <c r="E1" s="391"/>
      <c r="F1" s="391"/>
    </row>
    <row r="2" spans="1:6" ht="15.75" customHeight="1">
      <c r="A2" s="391" t="s">
        <v>258</v>
      </c>
      <c r="B2" s="391"/>
      <c r="C2" s="391"/>
      <c r="D2" s="391"/>
      <c r="E2" s="391"/>
      <c r="F2" s="391"/>
    </row>
    <row r="3" spans="1:6" ht="15" customHeight="1">
      <c r="A3" s="391" t="s">
        <v>46</v>
      </c>
      <c r="B3" s="391"/>
      <c r="C3" s="391"/>
      <c r="D3" s="391"/>
      <c r="E3" s="391"/>
      <c r="F3" s="391"/>
    </row>
    <row r="4" spans="1:6" ht="15" customHeight="1">
      <c r="A4" s="311"/>
      <c r="B4" s="311"/>
      <c r="C4" s="311"/>
      <c r="D4" s="311"/>
      <c r="E4" s="311"/>
      <c r="F4" s="311"/>
    </row>
    <row r="5" spans="1:6" ht="33" customHeight="1">
      <c r="A5" s="313" t="s">
        <v>190</v>
      </c>
      <c r="B5" s="395" t="s">
        <v>229</v>
      </c>
      <c r="C5" s="396"/>
      <c r="D5" s="397"/>
      <c r="E5" s="314">
        <f>+Ingresos!C9</f>
        <v>48628079.68</v>
      </c>
      <c r="F5" s="315">
        <f>+Ingresos!D9</f>
        <v>0.1099286489429586</v>
      </c>
    </row>
    <row r="6" spans="1:6" ht="59.25" customHeight="1">
      <c r="A6" s="392" t="s">
        <v>479</v>
      </c>
      <c r="B6" s="393"/>
      <c r="C6" s="393"/>
      <c r="D6" s="393"/>
      <c r="E6" s="393"/>
      <c r="F6" s="394"/>
    </row>
    <row r="7" spans="1:6" ht="25.5" customHeight="1">
      <c r="A7" s="313" t="s">
        <v>102</v>
      </c>
      <c r="B7" s="395" t="s">
        <v>256</v>
      </c>
      <c r="C7" s="396"/>
      <c r="D7" s="397"/>
      <c r="E7" s="314">
        <f>Ingresos!C13</f>
        <v>560170650.29</v>
      </c>
      <c r="F7" s="315">
        <f>Ingresos!D13</f>
        <v>0.5329075696430647</v>
      </c>
    </row>
    <row r="8" spans="1:6" ht="57" customHeight="1">
      <c r="A8" s="392" t="s">
        <v>477</v>
      </c>
      <c r="B8" s="393"/>
      <c r="C8" s="393"/>
      <c r="D8" s="393"/>
      <c r="E8" s="393"/>
      <c r="F8" s="394"/>
    </row>
    <row r="9" spans="1:6" ht="25.5" customHeight="1">
      <c r="A9" s="313" t="s">
        <v>103</v>
      </c>
      <c r="B9" s="395" t="s">
        <v>230</v>
      </c>
      <c r="C9" s="396"/>
      <c r="D9" s="397"/>
      <c r="E9" s="314">
        <f>Ingresos!C14</f>
        <v>442360386.91999984</v>
      </c>
      <c r="F9" s="315">
        <f>Ingresos!D14</f>
        <v>0.42083104242941305</v>
      </c>
    </row>
    <row r="10" spans="1:6" ht="135.75" customHeight="1">
      <c r="A10" s="398" t="s">
        <v>480</v>
      </c>
      <c r="B10" s="398"/>
      <c r="C10" s="398"/>
      <c r="D10" s="398"/>
      <c r="E10" s="398"/>
      <c r="F10" s="398"/>
    </row>
    <row r="11" spans="1:5" ht="15" customHeight="1">
      <c r="A11" s="312"/>
      <c r="B11" s="390" t="s">
        <v>16</v>
      </c>
      <c r="C11" s="390"/>
      <c r="D11" s="390" t="s">
        <v>21</v>
      </c>
      <c r="E11" s="390"/>
    </row>
    <row r="12" spans="2:5" ht="30" customHeight="1">
      <c r="B12" s="384" t="s">
        <v>144</v>
      </c>
      <c r="C12" s="385"/>
      <c r="D12" s="389">
        <v>3650314.35</v>
      </c>
      <c r="E12" s="389"/>
    </row>
    <row r="13" spans="2:5" ht="18" customHeight="1">
      <c r="B13" s="384" t="s">
        <v>235</v>
      </c>
      <c r="C13" s="385"/>
      <c r="D13" s="389">
        <v>7739186.68</v>
      </c>
      <c r="E13" s="389"/>
    </row>
    <row r="14" spans="2:5" ht="32.25" customHeight="1">
      <c r="B14" s="384" t="s">
        <v>481</v>
      </c>
      <c r="C14" s="385"/>
      <c r="D14" s="389">
        <v>1424286.34</v>
      </c>
      <c r="E14" s="389"/>
    </row>
    <row r="15" spans="2:5" s="133" customFormat="1" ht="18" customHeight="1">
      <c r="B15" s="384" t="s">
        <v>250</v>
      </c>
      <c r="C15" s="385"/>
      <c r="D15" s="389">
        <v>47189656.89</v>
      </c>
      <c r="E15" s="389"/>
    </row>
    <row r="16" spans="2:5" ht="25.5" customHeight="1">
      <c r="B16" s="384" t="s">
        <v>171</v>
      </c>
      <c r="C16" s="385"/>
      <c r="D16" s="389">
        <v>123866219.29</v>
      </c>
      <c r="E16" s="389"/>
    </row>
    <row r="17" spans="2:5" ht="17.25" customHeight="1">
      <c r="B17" s="384" t="s">
        <v>152</v>
      </c>
      <c r="C17" s="385"/>
      <c r="D17" s="389">
        <v>318166291.41</v>
      </c>
      <c r="E17" s="389"/>
    </row>
    <row r="18" spans="2:5" ht="14.25">
      <c r="B18" s="384" t="s">
        <v>162</v>
      </c>
      <c r="C18" s="385"/>
      <c r="D18" s="389">
        <v>43317200</v>
      </c>
      <c r="E18" s="389"/>
    </row>
    <row r="19" spans="2:5" ht="16.5" customHeight="1">
      <c r="B19" s="384" t="s">
        <v>150</v>
      </c>
      <c r="C19" s="385"/>
      <c r="D19" s="389">
        <v>9497067.3</v>
      </c>
      <c r="E19" s="389"/>
    </row>
    <row r="20" spans="2:5" ht="15" customHeight="1">
      <c r="B20" s="384" t="s">
        <v>329</v>
      </c>
      <c r="C20" s="385"/>
      <c r="D20" s="389">
        <v>3312443.42</v>
      </c>
      <c r="E20" s="389"/>
    </row>
    <row r="21" spans="2:5" ht="21" customHeight="1">
      <c r="B21" s="384" t="s">
        <v>172</v>
      </c>
      <c r="C21" s="385"/>
      <c r="D21" s="389">
        <v>1535122.77</v>
      </c>
      <c r="E21" s="389"/>
    </row>
    <row r="22" spans="2:5" ht="24.75" customHeight="1">
      <c r="B22" s="384" t="s">
        <v>153</v>
      </c>
      <c r="C22" s="385"/>
      <c r="D22" s="389">
        <v>58847097.39</v>
      </c>
      <c r="E22" s="389"/>
    </row>
    <row r="23" spans="2:5" ht="15" customHeight="1">
      <c r="B23" s="384" t="s">
        <v>154</v>
      </c>
      <c r="C23" s="385"/>
      <c r="D23" s="389">
        <v>1136598.7</v>
      </c>
      <c r="E23" s="389"/>
    </row>
    <row r="24" spans="2:5" ht="19.5" customHeight="1">
      <c r="B24" s="384" t="s">
        <v>236</v>
      </c>
      <c r="C24" s="385"/>
      <c r="D24" s="389">
        <v>1040352.85</v>
      </c>
      <c r="E24" s="389"/>
    </row>
    <row r="25" spans="2:5" ht="12" customHeight="1">
      <c r="B25" s="384" t="s">
        <v>237</v>
      </c>
      <c r="C25" s="385"/>
      <c r="D25" s="389">
        <v>26043574.62</v>
      </c>
      <c r="E25" s="389"/>
    </row>
    <row r="26" spans="2:5" ht="26.25" customHeight="1">
      <c r="B26" s="384" t="s">
        <v>482</v>
      </c>
      <c r="C26" s="385"/>
      <c r="D26" s="389">
        <v>-25000000</v>
      </c>
      <c r="E26" s="389"/>
    </row>
    <row r="27" spans="2:5" ht="14.25">
      <c r="B27" s="384" t="s">
        <v>212</v>
      </c>
      <c r="C27" s="385"/>
      <c r="D27" s="389">
        <v>322574.35</v>
      </c>
      <c r="E27" s="389"/>
    </row>
    <row r="28" spans="2:5" ht="14.25" customHeight="1">
      <c r="B28" s="384" t="s">
        <v>330</v>
      </c>
      <c r="C28" s="385"/>
      <c r="D28" s="389">
        <v>3733922.51</v>
      </c>
      <c r="E28" s="389"/>
    </row>
    <row r="29" spans="2:5" ht="14.25" customHeight="1">
      <c r="B29" s="384" t="s">
        <v>335</v>
      </c>
      <c r="C29" s="385"/>
      <c r="D29" s="389">
        <v>-215720161.08</v>
      </c>
      <c r="E29" s="389"/>
    </row>
    <row r="30" spans="2:5" ht="14.25" customHeight="1">
      <c r="B30" s="386" t="s">
        <v>50</v>
      </c>
      <c r="C30" s="386"/>
      <c r="D30" s="389">
        <v>34257653.62</v>
      </c>
      <c r="E30" s="389"/>
    </row>
    <row r="31" spans="2:5" ht="15">
      <c r="B31" s="390" t="s">
        <v>478</v>
      </c>
      <c r="C31" s="390"/>
      <c r="D31" s="387">
        <f>SUM(D12:D30)</f>
        <v>444359401.40999997</v>
      </c>
      <c r="E31" s="388"/>
    </row>
    <row r="39" ht="25.5" customHeight="1"/>
  </sheetData>
  <sheetProtection/>
  <mergeCells count="51">
    <mergeCell ref="D12:E12"/>
    <mergeCell ref="D13:E13"/>
    <mergeCell ref="B11:C11"/>
    <mergeCell ref="D11:E11"/>
    <mergeCell ref="B9:D9"/>
    <mergeCell ref="A10:F10"/>
    <mergeCell ref="D14:E14"/>
    <mergeCell ref="D16:E16"/>
    <mergeCell ref="D15:E15"/>
    <mergeCell ref="A1:F1"/>
    <mergeCell ref="A2:F2"/>
    <mergeCell ref="A3:F3"/>
    <mergeCell ref="A6:F6"/>
    <mergeCell ref="B5:D5"/>
    <mergeCell ref="B7:D7"/>
    <mergeCell ref="A8:F8"/>
    <mergeCell ref="D19:E19"/>
    <mergeCell ref="D20:E20"/>
    <mergeCell ref="D18:E18"/>
    <mergeCell ref="B12:C12"/>
    <mergeCell ref="B13:C13"/>
    <mergeCell ref="B14:C14"/>
    <mergeCell ref="B15:C15"/>
    <mergeCell ref="B16:C16"/>
    <mergeCell ref="B17:C17"/>
    <mergeCell ref="D17:E17"/>
    <mergeCell ref="B31:C31"/>
    <mergeCell ref="D23:E23"/>
    <mergeCell ref="D24:E24"/>
    <mergeCell ref="D25:E25"/>
    <mergeCell ref="D26:E26"/>
    <mergeCell ref="D21:E21"/>
    <mergeCell ref="D22:E22"/>
    <mergeCell ref="B18:C18"/>
    <mergeCell ref="B28:C28"/>
    <mergeCell ref="B29:C29"/>
    <mergeCell ref="B23:C23"/>
    <mergeCell ref="B24:C24"/>
    <mergeCell ref="D31:E31"/>
    <mergeCell ref="D28:E28"/>
    <mergeCell ref="D29:E29"/>
    <mergeCell ref="D30:E30"/>
    <mergeCell ref="D27:E27"/>
    <mergeCell ref="B25:C25"/>
    <mergeCell ref="B21:C21"/>
    <mergeCell ref="B22:C22"/>
    <mergeCell ref="B30:C30"/>
    <mergeCell ref="B19:C19"/>
    <mergeCell ref="B20:C20"/>
    <mergeCell ref="B26:C26"/>
    <mergeCell ref="B27:C27"/>
  </mergeCells>
  <printOptions horizontalCentered="1"/>
  <pageMargins left="0.393700787401575" right="0.393700787401575" top="1.143700787" bottom="1.143700787" header="0" footer="0"/>
  <pageSetup horizontalDpi="600" verticalDpi="600" orientation="portrait" scale="80"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3"/>
  </sheetPr>
  <dimension ref="A1:K239"/>
  <sheetViews>
    <sheetView showGridLines="0" zoomScalePageLayoutView="0" workbookViewId="0" topLeftCell="A1">
      <selection activeCell="A218" sqref="A218:I218"/>
    </sheetView>
  </sheetViews>
  <sheetFormatPr defaultColWidth="11.421875" defaultRowHeight="12.75"/>
  <cols>
    <col min="1" max="1" width="10.00390625" style="17" customWidth="1"/>
    <col min="2" max="3" width="11.421875" style="17" customWidth="1"/>
    <col min="4" max="4" width="12.57421875" style="17" customWidth="1"/>
    <col min="5" max="5" width="17.7109375" style="17" customWidth="1"/>
    <col min="6" max="6" width="7.57421875" style="17" customWidth="1"/>
    <col min="7" max="7" width="22.28125" style="17" customWidth="1"/>
    <col min="8" max="8" width="8.28125" style="17" customWidth="1"/>
    <col min="9" max="9" width="16.421875" style="17" customWidth="1"/>
    <col min="10" max="11" width="20.57421875" style="17" bestFit="1" customWidth="1"/>
    <col min="12" max="16384" width="11.421875" style="17" customWidth="1"/>
  </cols>
  <sheetData>
    <row r="1" spans="1:9" ht="15">
      <c r="A1" s="425" t="s">
        <v>18</v>
      </c>
      <c r="B1" s="425"/>
      <c r="C1" s="425"/>
      <c r="D1" s="425"/>
      <c r="E1" s="425"/>
      <c r="F1" s="425"/>
      <c r="G1" s="425"/>
      <c r="H1" s="425"/>
      <c r="I1" s="425"/>
    </row>
    <row r="2" spans="1:9" ht="15">
      <c r="A2" s="425" t="s">
        <v>258</v>
      </c>
      <c r="B2" s="425"/>
      <c r="C2" s="425"/>
      <c r="D2" s="425"/>
      <c r="E2" s="425"/>
      <c r="F2" s="425"/>
      <c r="G2" s="425"/>
      <c r="H2" s="425"/>
      <c r="I2" s="425"/>
    </row>
    <row r="3" spans="1:9" ht="15">
      <c r="A3" s="425" t="s">
        <v>105</v>
      </c>
      <c r="B3" s="425"/>
      <c r="C3" s="425"/>
      <c r="D3" s="425"/>
      <c r="E3" s="425"/>
      <c r="F3" s="425"/>
      <c r="G3" s="425"/>
      <c r="H3" s="425"/>
      <c r="I3" s="425"/>
    </row>
    <row r="4" spans="1:6" ht="14.25">
      <c r="A4" s="18"/>
      <c r="B4" s="18"/>
      <c r="C4" s="18"/>
      <c r="D4" s="18"/>
      <c r="E4" s="18"/>
      <c r="F4" s="18"/>
    </row>
    <row r="5" spans="1:9" ht="18" customHeight="1">
      <c r="A5" s="426" t="s">
        <v>23</v>
      </c>
      <c r="B5" s="426"/>
      <c r="C5" s="426"/>
      <c r="D5" s="426"/>
      <c r="E5" s="426"/>
      <c r="F5" s="426"/>
      <c r="G5" s="426"/>
      <c r="H5" s="426"/>
      <c r="I5" s="426"/>
    </row>
    <row r="6" spans="1:6" ht="13.5" customHeight="1">
      <c r="A6" s="18"/>
      <c r="B6" s="18"/>
      <c r="C6" s="18"/>
      <c r="D6" s="18"/>
      <c r="E6" s="18"/>
      <c r="F6" s="18"/>
    </row>
    <row r="7" spans="1:9" ht="13.5" customHeight="1">
      <c r="A7" s="430" t="s">
        <v>29</v>
      </c>
      <c r="B7" s="430"/>
      <c r="C7" s="430"/>
      <c r="D7" s="430"/>
      <c r="E7" s="430"/>
      <c r="F7" s="19"/>
      <c r="G7" s="20">
        <f>+'Gral y X Prog.'!C18</f>
        <v>72000000</v>
      </c>
      <c r="H7" s="19"/>
      <c r="I7" s="19"/>
    </row>
    <row r="8" spans="1:9" ht="54.75" customHeight="1">
      <c r="A8" s="415" t="s">
        <v>495</v>
      </c>
      <c r="B8" s="415"/>
      <c r="C8" s="415"/>
      <c r="D8" s="415"/>
      <c r="E8" s="415"/>
      <c r="F8" s="415"/>
      <c r="G8" s="415"/>
      <c r="H8" s="415"/>
      <c r="I8" s="415"/>
    </row>
    <row r="9" spans="1:6" ht="13.5" customHeight="1">
      <c r="A9" s="18"/>
      <c r="B9" s="18"/>
      <c r="C9" s="18"/>
      <c r="D9" s="18"/>
      <c r="E9" s="18"/>
      <c r="F9" s="18"/>
    </row>
    <row r="10" spans="1:9" ht="13.5" customHeight="1">
      <c r="A10" s="430" t="s">
        <v>496</v>
      </c>
      <c r="B10" s="430"/>
      <c r="C10" s="430"/>
      <c r="D10" s="430"/>
      <c r="E10" s="430"/>
      <c r="F10" s="19"/>
      <c r="G10" s="20">
        <f>+'Gral y X Prog.'!C44</f>
        <v>3000000</v>
      </c>
      <c r="H10" s="19"/>
      <c r="I10" s="19"/>
    </row>
    <row r="11" spans="1:9" ht="38.25" customHeight="1">
      <c r="A11" s="415" t="s">
        <v>497</v>
      </c>
      <c r="B11" s="415"/>
      <c r="C11" s="415"/>
      <c r="D11" s="415"/>
      <c r="E11" s="415"/>
      <c r="F11" s="415"/>
      <c r="G11" s="415"/>
      <c r="H11" s="415"/>
      <c r="I11" s="415"/>
    </row>
    <row r="12" spans="1:6" ht="13.5" customHeight="1">
      <c r="A12" s="18"/>
      <c r="B12" s="18"/>
      <c r="C12" s="18"/>
      <c r="D12" s="18"/>
      <c r="E12" s="18"/>
      <c r="F12" s="18"/>
    </row>
    <row r="13" spans="1:9" ht="17.25" customHeight="1">
      <c r="A13" s="430" t="s">
        <v>116</v>
      </c>
      <c r="B13" s="430"/>
      <c r="C13" s="430"/>
      <c r="D13" s="430"/>
      <c r="E13" s="430"/>
      <c r="F13" s="19"/>
      <c r="G13" s="20">
        <f>'Gral y X Prog.'!C57</f>
        <v>12813787.370000001</v>
      </c>
      <c r="H13" s="19"/>
      <c r="I13" s="19"/>
    </row>
    <row r="14" spans="1:6" ht="14.25">
      <c r="A14" s="18"/>
      <c r="B14" s="18"/>
      <c r="C14" s="18"/>
      <c r="D14" s="18"/>
      <c r="E14" s="18"/>
      <c r="F14" s="18"/>
    </row>
    <row r="15" spans="1:9" ht="50.25" customHeight="1">
      <c r="A15" s="415" t="s">
        <v>498</v>
      </c>
      <c r="B15" s="415"/>
      <c r="C15" s="415"/>
      <c r="D15" s="415"/>
      <c r="E15" s="415"/>
      <c r="F15" s="415"/>
      <c r="G15" s="415"/>
      <c r="H15" s="415"/>
      <c r="I15" s="415"/>
    </row>
    <row r="16" spans="1:6" ht="14.25">
      <c r="A16" s="18"/>
      <c r="B16" s="18"/>
      <c r="C16" s="18"/>
      <c r="D16" s="18"/>
      <c r="E16" s="18"/>
      <c r="F16" s="18"/>
    </row>
    <row r="17" spans="1:6" ht="14.25">
      <c r="A17" s="18"/>
      <c r="B17" s="18"/>
      <c r="C17" s="18"/>
      <c r="D17" s="18"/>
      <c r="E17" s="18"/>
      <c r="F17" s="18"/>
    </row>
    <row r="18" spans="1:7" ht="15">
      <c r="A18" s="18"/>
      <c r="B18" s="404" t="s">
        <v>16</v>
      </c>
      <c r="C18" s="404"/>
      <c r="D18" s="404"/>
      <c r="E18" s="404"/>
      <c r="F18" s="404" t="s">
        <v>21</v>
      </c>
      <c r="G18" s="404"/>
    </row>
    <row r="19" spans="1:7" ht="37.5" customHeight="1">
      <c r="A19" s="18"/>
      <c r="B19" s="399" t="s">
        <v>261</v>
      </c>
      <c r="C19" s="400"/>
      <c r="D19" s="400"/>
      <c r="E19" s="431"/>
      <c r="F19" s="432">
        <v>1424286.34</v>
      </c>
      <c r="G19" s="433"/>
    </row>
    <row r="20" spans="1:7" ht="29.25" customHeight="1">
      <c r="A20" s="18"/>
      <c r="B20" s="418" t="s">
        <v>47</v>
      </c>
      <c r="C20" s="419"/>
      <c r="D20" s="419"/>
      <c r="E20" s="427"/>
      <c r="F20" s="445">
        <v>3650314.35</v>
      </c>
      <c r="G20" s="446"/>
    </row>
    <row r="21" spans="1:7" ht="37.5" customHeight="1">
      <c r="A21" s="18"/>
      <c r="B21" s="399" t="s">
        <v>259</v>
      </c>
      <c r="C21" s="400"/>
      <c r="D21" s="400"/>
      <c r="E21" s="431"/>
      <c r="F21" s="432">
        <v>7739186.68</v>
      </c>
      <c r="G21" s="433"/>
    </row>
    <row r="22" spans="1:7" ht="15">
      <c r="A22" s="18"/>
      <c r="B22" s="412" t="s">
        <v>52</v>
      </c>
      <c r="C22" s="413"/>
      <c r="D22" s="413"/>
      <c r="E22" s="414"/>
      <c r="F22" s="411">
        <f>SUM(F19:G21)</f>
        <v>12813787.370000001</v>
      </c>
      <c r="G22" s="404"/>
    </row>
    <row r="23" spans="1:6" ht="14.25">
      <c r="A23" s="18"/>
      <c r="B23" s="18"/>
      <c r="C23" s="18"/>
      <c r="D23" s="18"/>
      <c r="E23" s="18"/>
      <c r="F23" s="18"/>
    </row>
    <row r="24" spans="1:6" ht="14.25">
      <c r="A24" s="18"/>
      <c r="B24" s="18"/>
      <c r="C24" s="18"/>
      <c r="D24" s="18"/>
      <c r="E24" s="18"/>
      <c r="F24" s="18"/>
    </row>
    <row r="25" spans="1:6" ht="14.25">
      <c r="A25" s="18"/>
      <c r="B25" s="18"/>
      <c r="C25" s="18"/>
      <c r="D25" s="18"/>
      <c r="E25" s="18"/>
      <c r="F25" s="18"/>
    </row>
    <row r="26" spans="1:6" ht="14.25">
      <c r="A26" s="18"/>
      <c r="B26" s="18"/>
      <c r="C26" s="18"/>
      <c r="D26" s="18"/>
      <c r="E26" s="18"/>
      <c r="F26" s="18"/>
    </row>
    <row r="27" spans="1:6" ht="14.25">
      <c r="A27" s="18"/>
      <c r="B27" s="18"/>
      <c r="C27" s="18"/>
      <c r="D27" s="18"/>
      <c r="E27" s="18"/>
      <c r="F27" s="18"/>
    </row>
    <row r="28" spans="1:6" ht="14.25">
      <c r="A28" s="18"/>
      <c r="B28" s="18"/>
      <c r="C28" s="18"/>
      <c r="D28" s="18"/>
      <c r="E28" s="18"/>
      <c r="F28" s="18"/>
    </row>
    <row r="29" spans="1:6" ht="14.25">
      <c r="A29" s="18"/>
      <c r="B29" s="18"/>
      <c r="C29" s="18"/>
      <c r="D29" s="18"/>
      <c r="E29" s="18"/>
      <c r="F29" s="18"/>
    </row>
    <row r="30" spans="1:6" ht="14.25">
      <c r="A30" s="18"/>
      <c r="B30" s="18"/>
      <c r="C30" s="18"/>
      <c r="D30" s="18"/>
      <c r="E30" s="18"/>
      <c r="F30" s="18"/>
    </row>
    <row r="31" spans="1:6" ht="14.25">
      <c r="A31" s="18"/>
      <c r="B31" s="18"/>
      <c r="C31" s="18"/>
      <c r="D31" s="18"/>
      <c r="E31" s="18"/>
      <c r="F31" s="18"/>
    </row>
    <row r="32" spans="1:6" ht="14.25">
      <c r="A32" s="18"/>
      <c r="B32" s="18"/>
      <c r="C32" s="18"/>
      <c r="D32" s="18"/>
      <c r="E32" s="18"/>
      <c r="F32" s="18"/>
    </row>
    <row r="33" spans="1:6" ht="14.25">
      <c r="A33" s="18"/>
      <c r="B33" s="18"/>
      <c r="C33" s="18"/>
      <c r="D33" s="18"/>
      <c r="E33" s="18"/>
      <c r="F33" s="18"/>
    </row>
    <row r="34" spans="1:6" ht="14.25">
      <c r="A34" s="18"/>
      <c r="B34" s="18"/>
      <c r="C34" s="18"/>
      <c r="D34" s="18"/>
      <c r="E34" s="18"/>
      <c r="F34" s="18"/>
    </row>
    <row r="35" spans="1:6" ht="14.25">
      <c r="A35" s="18"/>
      <c r="B35" s="18"/>
      <c r="C35" s="18"/>
      <c r="D35" s="18"/>
      <c r="E35" s="18"/>
      <c r="F35" s="18"/>
    </row>
    <row r="36" spans="1:6" ht="14.25">
      <c r="A36" s="18"/>
      <c r="B36" s="18"/>
      <c r="C36" s="18"/>
      <c r="D36" s="18"/>
      <c r="E36" s="18"/>
      <c r="F36" s="18"/>
    </row>
    <row r="37" spans="1:6" ht="14.25">
      <c r="A37" s="18"/>
      <c r="B37" s="18"/>
      <c r="C37" s="18"/>
      <c r="D37" s="18"/>
      <c r="E37" s="18"/>
      <c r="F37" s="18"/>
    </row>
    <row r="38" spans="1:6" ht="14.25">
      <c r="A38" s="18"/>
      <c r="B38" s="18"/>
      <c r="C38" s="18"/>
      <c r="D38" s="18"/>
      <c r="E38" s="18"/>
      <c r="F38" s="18"/>
    </row>
    <row r="39" spans="1:6" ht="14.25">
      <c r="A39" s="18"/>
      <c r="B39" s="18"/>
      <c r="C39" s="18"/>
      <c r="D39" s="18"/>
      <c r="E39" s="18"/>
      <c r="F39" s="18"/>
    </row>
    <row r="40" spans="1:6" ht="14.25">
      <c r="A40" s="18"/>
      <c r="B40" s="18"/>
      <c r="C40" s="18"/>
      <c r="D40" s="18"/>
      <c r="E40" s="18"/>
      <c r="F40" s="18"/>
    </row>
    <row r="41" spans="1:6" ht="14.25">
      <c r="A41" s="18"/>
      <c r="B41" s="18"/>
      <c r="C41" s="18"/>
      <c r="D41" s="18"/>
      <c r="E41" s="18"/>
      <c r="F41" s="18"/>
    </row>
    <row r="42" spans="1:6" ht="14.25">
      <c r="A42" s="18"/>
      <c r="B42" s="18"/>
      <c r="C42" s="18"/>
      <c r="D42" s="18"/>
      <c r="E42" s="18"/>
      <c r="F42" s="18"/>
    </row>
    <row r="43" spans="1:6" ht="14.25">
      <c r="A43" s="18"/>
      <c r="B43" s="18"/>
      <c r="C43" s="18"/>
      <c r="D43" s="18"/>
      <c r="E43" s="18"/>
      <c r="F43" s="18"/>
    </row>
    <row r="44" spans="1:6" ht="14.25">
      <c r="A44" s="18"/>
      <c r="B44" s="18"/>
      <c r="C44" s="18"/>
      <c r="D44" s="18"/>
      <c r="E44" s="18"/>
      <c r="F44" s="18"/>
    </row>
    <row r="45" spans="1:6" ht="14.25">
      <c r="A45" s="18"/>
      <c r="B45" s="18"/>
      <c r="C45" s="18"/>
      <c r="D45" s="18"/>
      <c r="E45" s="18"/>
      <c r="F45" s="18"/>
    </row>
    <row r="46" spans="1:6" ht="14.25">
      <c r="A46" s="18"/>
      <c r="B46" s="18"/>
      <c r="C46" s="18"/>
      <c r="D46" s="18"/>
      <c r="E46" s="18"/>
      <c r="F46" s="18"/>
    </row>
    <row r="47" spans="1:6" ht="14.25">
      <c r="A47" s="18"/>
      <c r="B47" s="18"/>
      <c r="C47" s="18"/>
      <c r="D47" s="18"/>
      <c r="E47" s="18"/>
      <c r="F47" s="18"/>
    </row>
    <row r="48" spans="1:6" ht="14.25">
      <c r="A48" s="18"/>
      <c r="B48" s="18"/>
      <c r="C48" s="18"/>
      <c r="D48" s="18"/>
      <c r="E48" s="18"/>
      <c r="F48" s="18"/>
    </row>
    <row r="49" spans="1:6" ht="14.25">
      <c r="A49" s="18"/>
      <c r="B49" s="18"/>
      <c r="C49" s="18"/>
      <c r="D49" s="18"/>
      <c r="E49" s="18"/>
      <c r="F49" s="18"/>
    </row>
    <row r="50" spans="1:9" ht="15.75" customHeight="1">
      <c r="A50" s="426" t="s">
        <v>22</v>
      </c>
      <c r="B50" s="426"/>
      <c r="C50" s="426"/>
      <c r="D50" s="426"/>
      <c r="E50" s="426"/>
      <c r="F50" s="426"/>
      <c r="G50" s="426"/>
      <c r="H50" s="426"/>
      <c r="I50" s="426"/>
    </row>
    <row r="51" spans="1:4" ht="15">
      <c r="A51" s="16"/>
      <c r="B51" s="16"/>
      <c r="C51" s="16"/>
      <c r="D51" s="16"/>
    </row>
    <row r="52" spans="1:9" ht="14.25" customHeight="1">
      <c r="A52" s="21" t="s">
        <v>108</v>
      </c>
      <c r="B52" s="22"/>
      <c r="C52" s="22"/>
      <c r="D52" s="22"/>
      <c r="E52" s="22"/>
      <c r="F52" s="22"/>
      <c r="G52" s="23">
        <f>+'Gral y X Prog.'!E8</f>
        <v>3872654.0300000003</v>
      </c>
      <c r="H52" s="22"/>
      <c r="I52" s="22"/>
    </row>
    <row r="53" spans="1:9" ht="81" customHeight="1">
      <c r="A53" s="415" t="s">
        <v>499</v>
      </c>
      <c r="B53" s="415"/>
      <c r="C53" s="415"/>
      <c r="D53" s="415"/>
      <c r="E53" s="415"/>
      <c r="F53" s="415"/>
      <c r="G53" s="415"/>
      <c r="H53" s="415"/>
      <c r="I53" s="415"/>
    </row>
    <row r="54" spans="1:9" ht="15">
      <c r="A54" s="21" t="s">
        <v>106</v>
      </c>
      <c r="B54" s="22"/>
      <c r="C54" s="22"/>
      <c r="D54" s="22"/>
      <c r="E54" s="22"/>
      <c r="F54" s="22"/>
      <c r="G54" s="23">
        <f>'Gral y X Prog.'!E18</f>
        <v>90977806.72</v>
      </c>
      <c r="H54" s="22"/>
      <c r="I54" s="22"/>
    </row>
    <row r="55" spans="1:9" ht="123" customHeight="1">
      <c r="A55" s="415" t="s">
        <v>500</v>
      </c>
      <c r="B55" s="415"/>
      <c r="C55" s="415"/>
      <c r="D55" s="415"/>
      <c r="E55" s="415"/>
      <c r="F55" s="415"/>
      <c r="G55" s="415"/>
      <c r="H55" s="415"/>
      <c r="I55" s="415"/>
    </row>
    <row r="56" spans="1:9" ht="15">
      <c r="A56" s="21" t="s">
        <v>30</v>
      </c>
      <c r="B56" s="22"/>
      <c r="C56" s="22"/>
      <c r="D56" s="22"/>
      <c r="E56" s="22"/>
      <c r="F56" s="22"/>
      <c r="G56" s="24">
        <f>'Gral y X Prog.'!E30</f>
        <v>20540220.81</v>
      </c>
      <c r="H56" s="22"/>
      <c r="I56" s="22"/>
    </row>
    <row r="57" spans="1:9" ht="99" customHeight="1">
      <c r="A57" s="415" t="s">
        <v>502</v>
      </c>
      <c r="B57" s="415"/>
      <c r="C57" s="415"/>
      <c r="D57" s="415"/>
      <c r="E57" s="415"/>
      <c r="F57" s="415"/>
      <c r="G57" s="415"/>
      <c r="H57" s="415"/>
      <c r="I57" s="415"/>
    </row>
    <row r="58" spans="1:9" ht="15">
      <c r="A58" s="21" t="s">
        <v>26</v>
      </c>
      <c r="B58" s="22"/>
      <c r="C58" s="22"/>
      <c r="D58" s="22"/>
      <c r="E58" s="22"/>
      <c r="F58" s="22"/>
      <c r="G58" s="23">
        <f>'Gral y X Prog.'!E44</f>
        <v>-188185038.31</v>
      </c>
      <c r="H58" s="22"/>
      <c r="I58" s="22"/>
    </row>
    <row r="59" spans="1:10" ht="88.5" customHeight="1">
      <c r="A59" s="415" t="s">
        <v>501</v>
      </c>
      <c r="B59" s="415"/>
      <c r="C59" s="415"/>
      <c r="D59" s="415"/>
      <c r="E59" s="415"/>
      <c r="F59" s="415"/>
      <c r="G59" s="415"/>
      <c r="H59" s="415"/>
      <c r="I59" s="415"/>
      <c r="J59" s="45"/>
    </row>
    <row r="60" spans="1:9" ht="15">
      <c r="A60" s="21" t="s">
        <v>116</v>
      </c>
      <c r="B60" s="22"/>
      <c r="C60" s="22"/>
      <c r="D60" s="22"/>
      <c r="E60" s="22"/>
      <c r="F60" s="22"/>
      <c r="G60" s="23">
        <f>'Gral y X Prog.'!E57</f>
        <v>53251261.29</v>
      </c>
      <c r="H60" s="22"/>
      <c r="I60" s="22"/>
    </row>
    <row r="61" spans="1:9" ht="27.75" customHeight="1">
      <c r="A61" s="415" t="s">
        <v>503</v>
      </c>
      <c r="B61" s="415"/>
      <c r="C61" s="415"/>
      <c r="D61" s="415"/>
      <c r="E61" s="415"/>
      <c r="F61" s="415"/>
      <c r="G61" s="415"/>
      <c r="H61" s="415"/>
      <c r="I61" s="415"/>
    </row>
    <row r="62" spans="1:6" ht="15">
      <c r="A62" s="25"/>
      <c r="B62" s="26"/>
      <c r="C62" s="27"/>
      <c r="D62" s="27"/>
      <c r="E62" s="27"/>
      <c r="F62" s="27"/>
    </row>
    <row r="63" spans="1:8" ht="15" customHeight="1">
      <c r="A63" s="25"/>
      <c r="B63" s="26"/>
      <c r="C63" s="404" t="s">
        <v>16</v>
      </c>
      <c r="D63" s="404"/>
      <c r="E63" s="404"/>
      <c r="F63" s="404"/>
      <c r="G63" s="404" t="s">
        <v>21</v>
      </c>
      <c r="H63" s="404"/>
    </row>
    <row r="64" spans="1:8" ht="38.25" customHeight="1">
      <c r="A64" s="25"/>
      <c r="B64" s="26"/>
      <c r="C64" s="418" t="s">
        <v>504</v>
      </c>
      <c r="D64" s="419"/>
      <c r="E64" s="419"/>
      <c r="F64" s="427"/>
      <c r="G64" s="428">
        <v>30000000</v>
      </c>
      <c r="H64" s="429"/>
    </row>
    <row r="65" spans="1:8" ht="43.5" customHeight="1">
      <c r="A65" s="25"/>
      <c r="B65" s="26"/>
      <c r="C65" s="418" t="s">
        <v>518</v>
      </c>
      <c r="D65" s="419"/>
      <c r="E65" s="419"/>
      <c r="F65" s="427"/>
      <c r="G65" s="447">
        <v>6000000</v>
      </c>
      <c r="H65" s="448"/>
    </row>
    <row r="66" spans="1:8" ht="33" customHeight="1">
      <c r="A66" s="25"/>
      <c r="B66" s="26"/>
      <c r="C66" s="418" t="s">
        <v>519</v>
      </c>
      <c r="D66" s="419"/>
      <c r="E66" s="419"/>
      <c r="F66" s="427"/>
      <c r="G66" s="447">
        <f>+'Prog-II Detalle'!C21</f>
        <v>22251261.29</v>
      </c>
      <c r="H66" s="448"/>
    </row>
    <row r="67" spans="1:8" ht="35.25" customHeight="1">
      <c r="A67" s="25"/>
      <c r="B67" s="26"/>
      <c r="C67" s="418" t="s">
        <v>443</v>
      </c>
      <c r="D67" s="419"/>
      <c r="E67" s="419"/>
      <c r="F67" s="427"/>
      <c r="G67" s="447">
        <v>20000000</v>
      </c>
      <c r="H67" s="448"/>
    </row>
    <row r="68" spans="1:8" ht="77.25" customHeight="1">
      <c r="A68" s="25"/>
      <c r="B68" s="26"/>
      <c r="C68" s="418" t="s">
        <v>520</v>
      </c>
      <c r="D68" s="419"/>
      <c r="E68" s="419"/>
      <c r="F68" s="427"/>
      <c r="G68" s="428">
        <v>-25000000</v>
      </c>
      <c r="H68" s="429"/>
    </row>
    <row r="69" spans="1:8" ht="15">
      <c r="A69" s="25"/>
      <c r="B69" s="26"/>
      <c r="C69" s="412" t="s">
        <v>52</v>
      </c>
      <c r="D69" s="413"/>
      <c r="E69" s="413"/>
      <c r="F69" s="414"/>
      <c r="G69" s="411">
        <f>SUM(G64:H68)</f>
        <v>53251261.28999999</v>
      </c>
      <c r="H69" s="404"/>
    </row>
    <row r="70" spans="1:6" ht="15">
      <c r="A70" s="25"/>
      <c r="B70" s="26"/>
      <c r="C70" s="27"/>
      <c r="D70" s="27"/>
      <c r="E70" s="27"/>
      <c r="F70" s="27"/>
    </row>
    <row r="71" spans="1:9" ht="15">
      <c r="A71" s="21" t="s">
        <v>139</v>
      </c>
      <c r="B71" s="22"/>
      <c r="C71" s="22"/>
      <c r="D71" s="22"/>
      <c r="E71" s="22"/>
      <c r="F71" s="22"/>
      <c r="G71" s="23">
        <f>+'Gral y X Prog.'!E64</f>
        <v>171308852.55</v>
      </c>
      <c r="H71" s="22"/>
      <c r="I71" s="22"/>
    </row>
    <row r="72" spans="1:6" ht="15">
      <c r="A72" s="25"/>
      <c r="B72" s="26"/>
      <c r="C72" s="27"/>
      <c r="D72" s="27"/>
      <c r="E72" s="27"/>
      <c r="F72" s="27"/>
    </row>
    <row r="73" spans="1:9" ht="14.25">
      <c r="A73" s="415" t="s">
        <v>505</v>
      </c>
      <c r="B73" s="415"/>
      <c r="C73" s="415"/>
      <c r="D73" s="415"/>
      <c r="E73" s="415"/>
      <c r="F73" s="415"/>
      <c r="G73" s="415"/>
      <c r="H73" s="415"/>
      <c r="I73" s="415"/>
    </row>
    <row r="74" spans="1:6" ht="15">
      <c r="A74" s="25"/>
      <c r="B74" s="26"/>
      <c r="C74" s="27"/>
      <c r="D74" s="27"/>
      <c r="E74" s="27"/>
      <c r="F74" s="27"/>
    </row>
    <row r="75" spans="1:8" ht="15">
      <c r="A75" s="25"/>
      <c r="B75" s="26"/>
      <c r="C75" s="404" t="s">
        <v>16</v>
      </c>
      <c r="D75" s="404"/>
      <c r="E75" s="404"/>
      <c r="F75" s="404"/>
      <c r="G75" s="404" t="s">
        <v>21</v>
      </c>
      <c r="H75" s="404"/>
    </row>
    <row r="76" spans="1:8" ht="33.75" customHeight="1">
      <c r="A76" s="25"/>
      <c r="B76" s="26"/>
      <c r="C76" s="399" t="s">
        <v>506</v>
      </c>
      <c r="D76" s="400"/>
      <c r="E76" s="400"/>
      <c r="F76" s="431"/>
      <c r="G76" s="428">
        <v>10000000</v>
      </c>
      <c r="H76" s="429"/>
    </row>
    <row r="77" spans="1:8" ht="30.75" customHeight="1">
      <c r="A77" s="25"/>
      <c r="B77" s="26"/>
      <c r="C77" s="418" t="s">
        <v>303</v>
      </c>
      <c r="D77" s="419"/>
      <c r="E77" s="419"/>
      <c r="F77" s="420"/>
      <c r="G77" s="450">
        <v>2000000</v>
      </c>
      <c r="H77" s="451"/>
    </row>
    <row r="78" spans="1:8" ht="35.25" customHeight="1">
      <c r="A78" s="25"/>
      <c r="B78" s="26"/>
      <c r="C78" s="399" t="s">
        <v>304</v>
      </c>
      <c r="D78" s="400"/>
      <c r="E78" s="400"/>
      <c r="F78" s="401"/>
      <c r="G78" s="452">
        <v>159308852.55</v>
      </c>
      <c r="H78" s="453"/>
    </row>
    <row r="79" spans="1:8" ht="15">
      <c r="A79" s="25"/>
      <c r="B79" s="26"/>
      <c r="C79" s="412" t="s">
        <v>52</v>
      </c>
      <c r="D79" s="413"/>
      <c r="E79" s="413"/>
      <c r="F79" s="414"/>
      <c r="G79" s="411">
        <f>SUM(G76:H78)</f>
        <v>171308852.55</v>
      </c>
      <c r="H79" s="404"/>
    </row>
    <row r="80" spans="1:6" ht="15">
      <c r="A80" s="25"/>
      <c r="B80" s="26"/>
      <c r="C80" s="27"/>
      <c r="D80" s="27"/>
      <c r="E80" s="27"/>
      <c r="F80" s="27"/>
    </row>
    <row r="81" spans="1:6" ht="15">
      <c r="A81" s="25"/>
      <c r="B81" s="26"/>
      <c r="C81" s="27"/>
      <c r="D81" s="27"/>
      <c r="E81" s="27"/>
      <c r="F81" s="27"/>
    </row>
    <row r="82" spans="1:6" ht="15">
      <c r="A82" s="25"/>
      <c r="B82" s="26"/>
      <c r="C82" s="27"/>
      <c r="D82" s="27"/>
      <c r="E82" s="27"/>
      <c r="F82" s="27"/>
    </row>
    <row r="83" spans="1:6" ht="15">
      <c r="A83" s="25"/>
      <c r="B83" s="26"/>
      <c r="C83" s="27"/>
      <c r="D83" s="27"/>
      <c r="E83" s="27"/>
      <c r="F83" s="27"/>
    </row>
    <row r="84" spans="1:6" ht="15">
      <c r="A84" s="25"/>
      <c r="B84" s="26"/>
      <c r="C84" s="27"/>
      <c r="D84" s="27"/>
      <c r="E84" s="27"/>
      <c r="F84" s="27"/>
    </row>
    <row r="85" spans="1:6" ht="15">
      <c r="A85" s="25"/>
      <c r="B85" s="26"/>
      <c r="C85" s="27"/>
      <c r="D85" s="27"/>
      <c r="E85" s="27"/>
      <c r="F85" s="27"/>
    </row>
    <row r="86" spans="1:6" ht="15">
      <c r="A86" s="25"/>
      <c r="B86" s="26"/>
      <c r="C86" s="27"/>
      <c r="D86" s="27"/>
      <c r="E86" s="27"/>
      <c r="F86" s="27"/>
    </row>
    <row r="87" spans="1:6" ht="15">
      <c r="A87" s="25"/>
      <c r="B87" s="26"/>
      <c r="C87" s="27"/>
      <c r="D87" s="27"/>
      <c r="E87" s="27"/>
      <c r="F87" s="27"/>
    </row>
    <row r="88" spans="1:6" ht="15">
      <c r="A88" s="25"/>
      <c r="B88" s="26"/>
      <c r="C88" s="27"/>
      <c r="D88" s="27"/>
      <c r="E88" s="27"/>
      <c r="F88" s="27"/>
    </row>
    <row r="89" spans="1:6" ht="15">
      <c r="A89" s="25"/>
      <c r="B89" s="26"/>
      <c r="C89" s="27"/>
      <c r="D89" s="27"/>
      <c r="E89" s="27"/>
      <c r="F89" s="27"/>
    </row>
    <row r="90" spans="1:6" ht="15">
      <c r="A90" s="25"/>
      <c r="B90" s="26"/>
      <c r="C90" s="27"/>
      <c r="D90" s="27"/>
      <c r="E90" s="27"/>
      <c r="F90" s="27"/>
    </row>
    <row r="91" spans="1:6" ht="15">
      <c r="A91" s="25"/>
      <c r="B91" s="26"/>
      <c r="C91" s="27"/>
      <c r="D91" s="27"/>
      <c r="E91" s="27"/>
      <c r="F91" s="27"/>
    </row>
    <row r="92" spans="1:6" ht="15">
      <c r="A92" s="25"/>
      <c r="B92" s="26"/>
      <c r="C92" s="27"/>
      <c r="D92" s="27"/>
      <c r="E92" s="27"/>
      <c r="F92" s="27"/>
    </row>
    <row r="93" spans="1:6" ht="15">
      <c r="A93" s="25"/>
      <c r="B93" s="26"/>
      <c r="C93" s="27"/>
      <c r="D93" s="27"/>
      <c r="E93" s="27"/>
      <c r="F93" s="27"/>
    </row>
    <row r="94" spans="1:6" ht="15">
      <c r="A94" s="25"/>
      <c r="B94" s="26"/>
      <c r="C94" s="27"/>
      <c r="D94" s="27"/>
      <c r="E94" s="27"/>
      <c r="F94" s="27"/>
    </row>
    <row r="95" spans="1:6" ht="15">
      <c r="A95" s="25"/>
      <c r="B95" s="26"/>
      <c r="C95" s="27"/>
      <c r="D95" s="27"/>
      <c r="E95" s="27"/>
      <c r="F95" s="27"/>
    </row>
    <row r="96" spans="1:6" ht="15">
      <c r="A96" s="25"/>
      <c r="B96" s="26"/>
      <c r="C96" s="27"/>
      <c r="D96" s="27"/>
      <c r="E96" s="27"/>
      <c r="F96" s="27"/>
    </row>
    <row r="97" spans="1:6" ht="15">
      <c r="A97" s="25"/>
      <c r="B97" s="26"/>
      <c r="C97" s="27"/>
      <c r="D97" s="27"/>
      <c r="E97" s="27"/>
      <c r="F97" s="27"/>
    </row>
    <row r="98" spans="1:6" ht="15">
      <c r="A98" s="25"/>
      <c r="B98" s="26"/>
      <c r="C98" s="27"/>
      <c r="D98" s="27"/>
      <c r="E98" s="27"/>
      <c r="F98" s="27"/>
    </row>
    <row r="99" spans="1:6" ht="15">
      <c r="A99" s="25"/>
      <c r="B99" s="26"/>
      <c r="C99" s="27"/>
      <c r="D99" s="27"/>
      <c r="E99" s="27"/>
      <c r="F99" s="27"/>
    </row>
    <row r="100" spans="1:6" ht="15">
      <c r="A100" s="25"/>
      <c r="B100" s="26"/>
      <c r="C100" s="27"/>
      <c r="D100" s="27"/>
      <c r="E100" s="27"/>
      <c r="F100" s="27"/>
    </row>
    <row r="101" spans="1:6" ht="15">
      <c r="A101" s="25"/>
      <c r="B101" s="26"/>
      <c r="C101" s="27"/>
      <c r="D101" s="27"/>
      <c r="E101" s="27"/>
      <c r="F101" s="27"/>
    </row>
    <row r="102" spans="1:6" ht="15">
      <c r="A102" s="25"/>
      <c r="B102" s="26"/>
      <c r="C102" s="27"/>
      <c r="D102" s="27"/>
      <c r="E102" s="27"/>
      <c r="F102" s="27"/>
    </row>
    <row r="103" spans="1:6" ht="15">
      <c r="A103" s="25"/>
      <c r="B103" s="26"/>
      <c r="C103" s="27"/>
      <c r="D103" s="27"/>
      <c r="E103" s="27"/>
      <c r="F103" s="27"/>
    </row>
    <row r="104" spans="1:6" ht="15">
      <c r="A104" s="25"/>
      <c r="B104" s="26"/>
      <c r="C104" s="27"/>
      <c r="D104" s="27"/>
      <c r="E104" s="27"/>
      <c r="F104" s="27"/>
    </row>
    <row r="105" spans="1:6" ht="15">
      <c r="A105" s="25"/>
      <c r="B105" s="26"/>
      <c r="C105" s="27"/>
      <c r="D105" s="27"/>
      <c r="E105" s="27"/>
      <c r="F105" s="27"/>
    </row>
    <row r="106" spans="1:6" ht="15">
      <c r="A106" s="25"/>
      <c r="B106" s="26"/>
      <c r="C106" s="27"/>
      <c r="D106" s="27"/>
      <c r="E106" s="27"/>
      <c r="F106" s="27"/>
    </row>
    <row r="107" spans="1:6" ht="15">
      <c r="A107" s="25"/>
      <c r="B107" s="26"/>
      <c r="C107" s="27"/>
      <c r="D107" s="27"/>
      <c r="E107" s="27"/>
      <c r="F107" s="27"/>
    </row>
    <row r="108" spans="1:6" ht="15">
      <c r="A108" s="25"/>
      <c r="B108" s="26"/>
      <c r="C108" s="27"/>
      <c r="D108" s="27"/>
      <c r="E108" s="27"/>
      <c r="F108" s="27"/>
    </row>
    <row r="109" spans="1:6" ht="15">
      <c r="A109" s="25"/>
      <c r="B109" s="26"/>
      <c r="C109" s="27"/>
      <c r="D109" s="27"/>
      <c r="E109" s="27"/>
      <c r="F109" s="27"/>
    </row>
    <row r="110" spans="1:6" ht="15">
      <c r="A110" s="25"/>
      <c r="B110" s="26"/>
      <c r="C110" s="27"/>
      <c r="D110" s="27"/>
      <c r="E110" s="27"/>
      <c r="F110" s="27"/>
    </row>
    <row r="111" spans="1:6" ht="15">
      <c r="A111" s="25"/>
      <c r="B111" s="26"/>
      <c r="C111" s="27"/>
      <c r="D111" s="27"/>
      <c r="E111" s="27"/>
      <c r="F111" s="27"/>
    </row>
    <row r="112" spans="1:6" ht="15">
      <c r="A112" s="25"/>
      <c r="B112" s="26"/>
      <c r="C112" s="27"/>
      <c r="D112" s="27"/>
      <c r="E112" s="27"/>
      <c r="F112" s="27"/>
    </row>
    <row r="113" spans="1:6" ht="15">
      <c r="A113" s="25"/>
      <c r="B113" s="26"/>
      <c r="C113" s="27"/>
      <c r="D113" s="27"/>
      <c r="E113" s="27"/>
      <c r="F113" s="27"/>
    </row>
    <row r="114" spans="1:6" ht="15">
      <c r="A114" s="25"/>
      <c r="B114" s="26"/>
      <c r="C114" s="27"/>
      <c r="D114" s="27"/>
      <c r="E114" s="27"/>
      <c r="F114" s="27"/>
    </row>
    <row r="115" spans="1:6" ht="15">
      <c r="A115" s="25"/>
      <c r="B115" s="26"/>
      <c r="C115" s="27"/>
      <c r="D115" s="27"/>
      <c r="E115" s="27"/>
      <c r="F115" s="27"/>
    </row>
    <row r="116" spans="1:6" ht="15">
      <c r="A116" s="25"/>
      <c r="B116" s="26"/>
      <c r="C116" s="27"/>
      <c r="D116" s="27"/>
      <c r="E116" s="27"/>
      <c r="F116" s="27"/>
    </row>
    <row r="117" spans="1:6" ht="15">
      <c r="A117" s="25"/>
      <c r="B117" s="26"/>
      <c r="C117" s="27"/>
      <c r="D117" s="27"/>
      <c r="E117" s="27"/>
      <c r="F117" s="27"/>
    </row>
    <row r="118" spans="1:6" ht="15">
      <c r="A118" s="25"/>
      <c r="B118" s="26"/>
      <c r="C118" s="27"/>
      <c r="D118" s="27"/>
      <c r="E118" s="27"/>
      <c r="F118" s="27"/>
    </row>
    <row r="119" spans="1:6" ht="15">
      <c r="A119" s="25"/>
      <c r="B119" s="26"/>
      <c r="C119" s="27"/>
      <c r="D119" s="27"/>
      <c r="E119" s="27"/>
      <c r="F119" s="27"/>
    </row>
    <row r="120" spans="1:6" ht="15">
      <c r="A120" s="25"/>
      <c r="B120" s="26"/>
      <c r="C120" s="27"/>
      <c r="D120" s="27"/>
      <c r="E120" s="27"/>
      <c r="F120" s="27"/>
    </row>
    <row r="121" spans="1:6" ht="15">
      <c r="A121" s="25"/>
      <c r="B121" s="26"/>
      <c r="C121" s="27"/>
      <c r="D121" s="27"/>
      <c r="E121" s="27"/>
      <c r="F121" s="27"/>
    </row>
    <row r="122" spans="1:9" ht="16.5" customHeight="1">
      <c r="A122" s="426" t="s">
        <v>25</v>
      </c>
      <c r="B122" s="426"/>
      <c r="C122" s="426"/>
      <c r="D122" s="426"/>
      <c r="E122" s="426"/>
      <c r="F122" s="426"/>
      <c r="G122" s="426"/>
      <c r="H122" s="426"/>
      <c r="I122" s="426"/>
    </row>
    <row r="123" spans="1:10" ht="15">
      <c r="A123" s="28"/>
      <c r="B123" s="28"/>
      <c r="C123" s="28"/>
      <c r="D123" s="28"/>
      <c r="J123" s="326"/>
    </row>
    <row r="124" spans="1:10" ht="15">
      <c r="A124" s="21" t="s">
        <v>507</v>
      </c>
      <c r="B124" s="22"/>
      <c r="C124" s="22"/>
      <c r="D124" s="22"/>
      <c r="E124" s="24"/>
      <c r="F124" s="22"/>
      <c r="G124" s="24">
        <f>+'Gral y X Prog.'!G18</f>
        <v>26000000</v>
      </c>
      <c r="H124" s="22"/>
      <c r="I124" s="22"/>
      <c r="J124" s="326"/>
    </row>
    <row r="125" spans="1:10" ht="32.25" customHeight="1">
      <c r="A125" s="449" t="s">
        <v>511</v>
      </c>
      <c r="B125" s="449"/>
      <c r="C125" s="449"/>
      <c r="D125" s="449"/>
      <c r="E125" s="449"/>
      <c r="F125" s="449"/>
      <c r="G125" s="449"/>
      <c r="H125" s="449"/>
      <c r="I125" s="449"/>
      <c r="J125" s="326"/>
    </row>
    <row r="126" spans="1:10" ht="21.75" customHeight="1">
      <c r="A126" s="373"/>
      <c r="B126" s="404" t="s">
        <v>16</v>
      </c>
      <c r="C126" s="404"/>
      <c r="D126" s="404"/>
      <c r="E126" s="404"/>
      <c r="F126" s="404" t="s">
        <v>21</v>
      </c>
      <c r="G126" s="404"/>
      <c r="H126" s="373"/>
      <c r="I126" s="373"/>
      <c r="J126" s="326"/>
    </row>
    <row r="127" spans="1:10" ht="40.5" customHeight="1">
      <c r="A127" s="373"/>
      <c r="B127" s="438" t="s">
        <v>379</v>
      </c>
      <c r="C127" s="438"/>
      <c r="D127" s="438"/>
      <c r="E127" s="438"/>
      <c r="F127" s="439">
        <v>15000000</v>
      </c>
      <c r="G127" s="439"/>
      <c r="H127" s="373"/>
      <c r="I127" s="373"/>
      <c r="J127" s="326"/>
    </row>
    <row r="128" spans="1:10" ht="37.5" customHeight="1">
      <c r="A128" s="373"/>
      <c r="B128" s="438" t="s">
        <v>368</v>
      </c>
      <c r="C128" s="438"/>
      <c r="D128" s="438"/>
      <c r="E128" s="438"/>
      <c r="F128" s="439">
        <v>11000000</v>
      </c>
      <c r="G128" s="439"/>
      <c r="H128" s="373"/>
      <c r="I128" s="373"/>
      <c r="J128" s="326"/>
    </row>
    <row r="129" spans="1:10" ht="21.75" customHeight="1">
      <c r="A129" s="373"/>
      <c r="B129" s="373"/>
      <c r="C129" s="373"/>
      <c r="D129" s="373"/>
      <c r="E129" s="373"/>
      <c r="F129" s="373"/>
      <c r="G129" s="373"/>
      <c r="H129" s="373"/>
      <c r="I129" s="373"/>
      <c r="J129" s="326"/>
    </row>
    <row r="130" spans="1:9" ht="15">
      <c r="A130" s="21" t="s">
        <v>26</v>
      </c>
      <c r="B130" s="22"/>
      <c r="C130" s="22"/>
      <c r="D130" s="22"/>
      <c r="E130" s="24"/>
      <c r="F130" s="22"/>
      <c r="G130" s="24">
        <f>'Gral y X Prog.'!G44</f>
        <v>628320933.3</v>
      </c>
      <c r="H130" s="22"/>
      <c r="I130" s="22"/>
    </row>
    <row r="131" spans="1:9" ht="59.25" customHeight="1">
      <c r="A131" s="415" t="s">
        <v>512</v>
      </c>
      <c r="B131" s="415"/>
      <c r="C131" s="415"/>
      <c r="D131" s="415"/>
      <c r="E131" s="415"/>
      <c r="F131" s="415"/>
      <c r="G131" s="415"/>
      <c r="H131" s="415"/>
      <c r="I131" s="415"/>
    </row>
    <row r="132" spans="1:9" ht="15" customHeight="1">
      <c r="A132" s="18"/>
      <c r="B132" s="18"/>
      <c r="C132" s="18"/>
      <c r="D132" s="18"/>
      <c r="E132" s="18"/>
      <c r="F132" s="18"/>
      <c r="G132" s="18"/>
      <c r="H132" s="18"/>
      <c r="I132" s="57"/>
    </row>
    <row r="133" spans="1:9" ht="15">
      <c r="A133" s="29" t="s">
        <v>135</v>
      </c>
      <c r="I133" s="32"/>
    </row>
    <row r="134" ht="15">
      <c r="A134" s="29"/>
    </row>
    <row r="135" spans="2:11" ht="15">
      <c r="B135" s="404" t="s">
        <v>16</v>
      </c>
      <c r="C135" s="404"/>
      <c r="D135" s="404"/>
      <c r="E135" s="404"/>
      <c r="F135" s="404" t="s">
        <v>21</v>
      </c>
      <c r="G135" s="404"/>
      <c r="J135" s="327"/>
      <c r="K135" s="32"/>
    </row>
    <row r="136" spans="1:10" s="31" customFormat="1" ht="24.75" customHeight="1">
      <c r="A136" s="30"/>
      <c r="B136" s="399" t="s">
        <v>205</v>
      </c>
      <c r="C136" s="400"/>
      <c r="D136" s="400"/>
      <c r="E136" s="401"/>
      <c r="F136" s="407">
        <v>312235.35</v>
      </c>
      <c r="G136" s="408"/>
      <c r="I136" s="328"/>
      <c r="J136" s="38"/>
    </row>
    <row r="137" spans="1:10" s="31" customFormat="1" ht="18" customHeight="1">
      <c r="A137" s="30"/>
      <c r="B137" s="399" t="s">
        <v>206</v>
      </c>
      <c r="C137" s="400"/>
      <c r="D137" s="400"/>
      <c r="E137" s="401"/>
      <c r="F137" s="407">
        <v>2121548.73</v>
      </c>
      <c r="G137" s="408"/>
      <c r="J137" s="38"/>
    </row>
    <row r="138" spans="1:10" s="31" customFormat="1" ht="24.75" customHeight="1">
      <c r="A138" s="30"/>
      <c r="B138" s="418" t="s">
        <v>327</v>
      </c>
      <c r="C138" s="419"/>
      <c r="D138" s="419"/>
      <c r="E138" s="420"/>
      <c r="F138" s="409">
        <v>43317200</v>
      </c>
      <c r="G138" s="410"/>
      <c r="J138" s="38"/>
    </row>
    <row r="139" spans="2:10" ht="15">
      <c r="B139" s="412" t="s">
        <v>36</v>
      </c>
      <c r="C139" s="413"/>
      <c r="D139" s="413"/>
      <c r="E139" s="414"/>
      <c r="F139" s="424">
        <f>SUM(F136:F138)</f>
        <v>45750984.08</v>
      </c>
      <c r="G139" s="414"/>
      <c r="J139" s="374"/>
    </row>
    <row r="140" spans="9:11" ht="14.25">
      <c r="I140" s="32"/>
      <c r="J140" s="32"/>
      <c r="K140" s="32"/>
    </row>
    <row r="141" spans="9:11" ht="14.25">
      <c r="I141" s="32"/>
      <c r="J141" s="32"/>
      <c r="K141" s="32"/>
    </row>
    <row r="142" spans="1:10" ht="15">
      <c r="A142" s="29" t="s">
        <v>136</v>
      </c>
      <c r="J142" s="44"/>
    </row>
    <row r="143" ht="15">
      <c r="A143" s="29"/>
    </row>
    <row r="144" spans="2:7" ht="15">
      <c r="B144" s="404" t="s">
        <v>16</v>
      </c>
      <c r="C144" s="404"/>
      <c r="D144" s="404"/>
      <c r="E144" s="404"/>
      <c r="F144" s="404" t="s">
        <v>21</v>
      </c>
      <c r="G144" s="404"/>
    </row>
    <row r="145" spans="2:7" ht="21" customHeight="1">
      <c r="B145" s="418" t="s">
        <v>355</v>
      </c>
      <c r="C145" s="419"/>
      <c r="D145" s="419"/>
      <c r="E145" s="420"/>
      <c r="F145" s="409">
        <v>50000000</v>
      </c>
      <c r="G145" s="410"/>
    </row>
    <row r="146" spans="2:7" ht="15.75" customHeight="1">
      <c r="B146" s="399" t="s">
        <v>366</v>
      </c>
      <c r="C146" s="400"/>
      <c r="D146" s="400"/>
      <c r="E146" s="401"/>
      <c r="F146" s="407">
        <v>30000000</v>
      </c>
      <c r="G146" s="408"/>
    </row>
    <row r="147" spans="2:7" ht="17.25" customHeight="1">
      <c r="B147" s="418" t="s">
        <v>371</v>
      </c>
      <c r="C147" s="419"/>
      <c r="D147" s="419"/>
      <c r="E147" s="420"/>
      <c r="F147" s="409">
        <v>20000000</v>
      </c>
      <c r="G147" s="410"/>
    </row>
    <row r="148" spans="2:7" ht="15.75" customHeight="1">
      <c r="B148" s="399" t="s">
        <v>373</v>
      </c>
      <c r="C148" s="400"/>
      <c r="D148" s="400"/>
      <c r="E148" s="401"/>
      <c r="F148" s="407">
        <v>100000000</v>
      </c>
      <c r="G148" s="408"/>
    </row>
    <row r="149" spans="2:7" ht="15.75" customHeight="1">
      <c r="B149" s="418" t="s">
        <v>374</v>
      </c>
      <c r="C149" s="419"/>
      <c r="D149" s="419"/>
      <c r="E149" s="420"/>
      <c r="F149" s="409">
        <v>50000000</v>
      </c>
      <c r="G149" s="410"/>
    </row>
    <row r="150" spans="2:7" ht="20.25" customHeight="1">
      <c r="B150" s="399" t="s">
        <v>378</v>
      </c>
      <c r="C150" s="400"/>
      <c r="D150" s="400"/>
      <c r="E150" s="401"/>
      <c r="F150" s="407">
        <v>40000000</v>
      </c>
      <c r="G150" s="408"/>
    </row>
    <row r="151" spans="2:7" ht="15.75" customHeight="1">
      <c r="B151" s="418" t="s">
        <v>278</v>
      </c>
      <c r="C151" s="419"/>
      <c r="D151" s="419"/>
      <c r="E151" s="420"/>
      <c r="F151" s="409">
        <v>58847097.39</v>
      </c>
      <c r="G151" s="410"/>
    </row>
    <row r="152" spans="2:7" ht="15" customHeight="1">
      <c r="B152" s="412" t="s">
        <v>36</v>
      </c>
      <c r="C152" s="413"/>
      <c r="D152" s="413"/>
      <c r="E152" s="414"/>
      <c r="F152" s="424">
        <f>SUM(F145:F151)</f>
        <v>348847097.39</v>
      </c>
      <c r="G152" s="414"/>
    </row>
    <row r="153" spans="2:7" ht="15" customHeight="1">
      <c r="B153" s="55"/>
      <c r="C153" s="55"/>
      <c r="D153" s="55"/>
      <c r="E153" s="55"/>
      <c r="F153" s="56"/>
      <c r="G153" s="56"/>
    </row>
    <row r="154" spans="1:7" s="27" customFormat="1" ht="15">
      <c r="A154" s="29" t="s">
        <v>222</v>
      </c>
      <c r="B154" s="39"/>
      <c r="C154" s="39"/>
      <c r="D154" s="39"/>
      <c r="E154" s="39"/>
      <c r="F154" s="40"/>
      <c r="G154" s="40"/>
    </row>
    <row r="155" spans="1:7" s="27" customFormat="1" ht="15">
      <c r="A155" s="29"/>
      <c r="B155" s="39"/>
      <c r="C155" s="39"/>
      <c r="D155" s="39"/>
      <c r="E155" s="39"/>
      <c r="F155" s="40"/>
      <c r="G155" s="40"/>
    </row>
    <row r="156" spans="2:7" s="27" customFormat="1" ht="15">
      <c r="B156" s="404" t="s">
        <v>16</v>
      </c>
      <c r="C156" s="404"/>
      <c r="D156" s="404"/>
      <c r="E156" s="404"/>
      <c r="F156" s="404" t="s">
        <v>21</v>
      </c>
      <c r="G156" s="404"/>
    </row>
    <row r="157" spans="2:7" s="27" customFormat="1" ht="33.75" customHeight="1">
      <c r="B157" s="418" t="s">
        <v>370</v>
      </c>
      <c r="C157" s="419"/>
      <c r="D157" s="419"/>
      <c r="E157" s="420"/>
      <c r="F157" s="409">
        <v>15000000</v>
      </c>
      <c r="G157" s="410"/>
    </row>
    <row r="158" spans="2:7" s="27" customFormat="1" ht="18.75" customHeight="1">
      <c r="B158" s="418" t="s">
        <v>401</v>
      </c>
      <c r="C158" s="419"/>
      <c r="D158" s="419"/>
      <c r="E158" s="420"/>
      <c r="F158" s="409">
        <v>11701842.1</v>
      </c>
      <c r="G158" s="410"/>
    </row>
    <row r="159" spans="2:7" s="27" customFormat="1" ht="19.5" customHeight="1">
      <c r="B159" s="418" t="s">
        <v>439</v>
      </c>
      <c r="C159" s="419"/>
      <c r="D159" s="419"/>
      <c r="E159" s="420"/>
      <c r="F159" s="409">
        <v>100000000</v>
      </c>
      <c r="G159" s="410"/>
    </row>
    <row r="160" spans="2:7" s="27" customFormat="1" ht="15">
      <c r="B160" s="412" t="s">
        <v>36</v>
      </c>
      <c r="C160" s="413"/>
      <c r="D160" s="413"/>
      <c r="E160" s="414"/>
      <c r="F160" s="411">
        <f>SUM(F157:F159)</f>
        <v>126701842.1</v>
      </c>
      <c r="G160" s="404"/>
    </row>
    <row r="161" spans="2:7" s="27" customFormat="1" ht="15">
      <c r="B161" s="39"/>
      <c r="C161" s="39"/>
      <c r="D161" s="39"/>
      <c r="E161" s="39"/>
      <c r="F161" s="40"/>
      <c r="G161" s="40"/>
    </row>
    <row r="162" spans="2:7" s="27" customFormat="1" ht="15">
      <c r="B162" s="39"/>
      <c r="C162" s="39"/>
      <c r="D162" s="39"/>
      <c r="E162" s="39"/>
      <c r="F162" s="40"/>
      <c r="G162" s="40"/>
    </row>
    <row r="163" spans="2:7" s="27" customFormat="1" ht="15">
      <c r="B163" s="39"/>
      <c r="C163" s="39"/>
      <c r="D163" s="39"/>
      <c r="E163" s="39"/>
      <c r="F163" s="40"/>
      <c r="G163" s="40"/>
    </row>
    <row r="164" spans="1:7" s="27" customFormat="1" ht="15">
      <c r="A164" s="25" t="s">
        <v>202</v>
      </c>
      <c r="B164" s="39"/>
      <c r="C164" s="39"/>
      <c r="D164" s="39"/>
      <c r="E164" s="39"/>
      <c r="F164" s="40"/>
      <c r="G164" s="40"/>
    </row>
    <row r="165" spans="2:7" s="27" customFormat="1" ht="15">
      <c r="B165" s="39"/>
      <c r="C165" s="39"/>
      <c r="D165" s="39"/>
      <c r="E165" s="39"/>
      <c r="F165" s="40"/>
      <c r="G165" s="40"/>
    </row>
    <row r="166" spans="2:7" s="27" customFormat="1" ht="15">
      <c r="B166" s="404" t="s">
        <v>16</v>
      </c>
      <c r="C166" s="404"/>
      <c r="D166" s="404"/>
      <c r="E166" s="404"/>
      <c r="F166" s="404" t="s">
        <v>21</v>
      </c>
      <c r="G166" s="404"/>
    </row>
    <row r="167" spans="2:7" s="27" customFormat="1" ht="27.75" customHeight="1">
      <c r="B167" s="418" t="s">
        <v>440</v>
      </c>
      <c r="C167" s="419"/>
      <c r="D167" s="419"/>
      <c r="E167" s="420"/>
      <c r="F167" s="443">
        <v>100000000</v>
      </c>
      <c r="G167" s="444"/>
    </row>
    <row r="168" spans="2:7" s="27" customFormat="1" ht="15">
      <c r="B168" s="404" t="s">
        <v>36</v>
      </c>
      <c r="C168" s="404"/>
      <c r="D168" s="404"/>
      <c r="E168" s="404"/>
      <c r="F168" s="405">
        <f>+F167</f>
        <v>100000000</v>
      </c>
      <c r="G168" s="406"/>
    </row>
    <row r="169" spans="2:7" s="27" customFormat="1" ht="15">
      <c r="B169" s="39"/>
      <c r="C169" s="39"/>
      <c r="D169" s="39"/>
      <c r="E169" s="39"/>
      <c r="F169" s="40"/>
      <c r="G169" s="40"/>
    </row>
    <row r="170" spans="1:9" s="31" customFormat="1" ht="21.75" customHeight="1">
      <c r="A170" s="63" t="s">
        <v>139</v>
      </c>
      <c r="B170" s="64"/>
      <c r="C170" s="64"/>
      <c r="D170" s="64"/>
      <c r="E170" s="64"/>
      <c r="F170" s="64"/>
      <c r="G170" s="65">
        <f>+'Gral y X Prog.'!G64</f>
        <v>125000000</v>
      </c>
      <c r="H170" s="64"/>
      <c r="I170" s="64"/>
    </row>
    <row r="171" spans="2:7" s="27" customFormat="1" ht="15">
      <c r="B171" s="39"/>
      <c r="C171" s="39"/>
      <c r="D171" s="39"/>
      <c r="E171" s="39"/>
      <c r="F171" s="40"/>
      <c r="G171" s="40"/>
    </row>
    <row r="172" spans="2:7" s="27" customFormat="1" ht="15" customHeight="1">
      <c r="B172" s="404" t="s">
        <v>16</v>
      </c>
      <c r="C172" s="404"/>
      <c r="D172" s="404"/>
      <c r="E172" s="404"/>
      <c r="F172" s="404" t="s">
        <v>21</v>
      </c>
      <c r="G172" s="404"/>
    </row>
    <row r="173" spans="2:7" s="27" customFormat="1" ht="32.25" customHeight="1">
      <c r="B173" s="399" t="s">
        <v>316</v>
      </c>
      <c r="C173" s="400"/>
      <c r="D173" s="400"/>
      <c r="E173" s="401"/>
      <c r="F173" s="407">
        <v>100000000</v>
      </c>
      <c r="G173" s="408"/>
    </row>
    <row r="174" spans="2:7" s="27" customFormat="1" ht="35.25" customHeight="1">
      <c r="B174" s="418" t="s">
        <v>437</v>
      </c>
      <c r="C174" s="419"/>
      <c r="D174" s="419"/>
      <c r="E174" s="420"/>
      <c r="F174" s="409">
        <v>25000000</v>
      </c>
      <c r="G174" s="410"/>
    </row>
    <row r="175" spans="2:7" s="27" customFormat="1" ht="15">
      <c r="B175" s="404" t="s">
        <v>36</v>
      </c>
      <c r="C175" s="404"/>
      <c r="D175" s="404"/>
      <c r="E175" s="404"/>
      <c r="F175" s="405">
        <f>SUM(F173:F174)</f>
        <v>125000000</v>
      </c>
      <c r="G175" s="406"/>
    </row>
    <row r="176" spans="2:9" s="27" customFormat="1" ht="15">
      <c r="B176" s="39"/>
      <c r="C176" s="39"/>
      <c r="D176" s="39"/>
      <c r="E176" s="39"/>
      <c r="F176" s="40"/>
      <c r="G176" s="40"/>
      <c r="H176" s="18"/>
      <c r="I176" s="18"/>
    </row>
    <row r="177" spans="2:9" s="27" customFormat="1" ht="15">
      <c r="B177" s="39"/>
      <c r="C177" s="39"/>
      <c r="D177" s="39"/>
      <c r="E177" s="39"/>
      <c r="F177" s="40"/>
      <c r="G177" s="40"/>
      <c r="H177" s="17"/>
      <c r="I177" s="17"/>
    </row>
    <row r="178" spans="2:9" s="27" customFormat="1" ht="15">
      <c r="B178" s="39"/>
      <c r="C178" s="39"/>
      <c r="D178" s="39"/>
      <c r="E178" s="39"/>
      <c r="F178" s="40"/>
      <c r="G178" s="40"/>
      <c r="H178" s="17"/>
      <c r="I178" s="17"/>
    </row>
    <row r="179" spans="2:9" s="27" customFormat="1" ht="15">
      <c r="B179" s="39"/>
      <c r="C179" s="39"/>
      <c r="D179" s="39"/>
      <c r="E179" s="39"/>
      <c r="F179" s="40"/>
      <c r="G179" s="40"/>
      <c r="H179" s="17"/>
      <c r="I179" s="17"/>
    </row>
    <row r="180" spans="2:9" s="27" customFormat="1" ht="15">
      <c r="B180" s="39"/>
      <c r="C180" s="39"/>
      <c r="D180" s="39"/>
      <c r="E180" s="39"/>
      <c r="F180" s="40"/>
      <c r="G180" s="40"/>
      <c r="H180" s="17"/>
      <c r="I180" s="17"/>
    </row>
    <row r="181" spans="2:9" s="27" customFormat="1" ht="15">
      <c r="B181" s="39"/>
      <c r="C181" s="39"/>
      <c r="D181" s="39"/>
      <c r="E181" s="39"/>
      <c r="F181" s="40"/>
      <c r="G181" s="40"/>
      <c r="H181" s="17"/>
      <c r="I181" s="44"/>
    </row>
    <row r="182" spans="2:9" s="27" customFormat="1" ht="15">
      <c r="B182" s="39"/>
      <c r="C182" s="39"/>
      <c r="D182" s="39"/>
      <c r="E182" s="39"/>
      <c r="F182" s="40"/>
      <c r="G182" s="40"/>
      <c r="H182" s="17"/>
      <c r="I182" s="44"/>
    </row>
    <row r="183" spans="2:9" s="27" customFormat="1" ht="15">
      <c r="B183" s="39"/>
      <c r="C183" s="39"/>
      <c r="D183" s="39"/>
      <c r="E183" s="39"/>
      <c r="F183" s="40"/>
      <c r="G183" s="40"/>
      <c r="H183" s="17"/>
      <c r="I183" s="44"/>
    </row>
    <row r="184" spans="2:9" s="27" customFormat="1" ht="15">
      <c r="B184" s="39"/>
      <c r="C184" s="39"/>
      <c r="D184" s="39"/>
      <c r="E184" s="39"/>
      <c r="F184" s="40"/>
      <c r="G184" s="40"/>
      <c r="H184" s="17"/>
      <c r="I184" s="44"/>
    </row>
    <row r="185" spans="2:9" s="27" customFormat="1" ht="15">
      <c r="B185" s="39"/>
      <c r="C185" s="39"/>
      <c r="D185" s="39"/>
      <c r="E185" s="39"/>
      <c r="F185" s="40"/>
      <c r="G185" s="40"/>
      <c r="H185" s="17"/>
      <c r="I185" s="44"/>
    </row>
    <row r="186" spans="2:9" s="27" customFormat="1" ht="15">
      <c r="B186" s="39"/>
      <c r="C186" s="39"/>
      <c r="D186" s="39"/>
      <c r="E186" s="39"/>
      <c r="F186" s="40"/>
      <c r="G186" s="40"/>
      <c r="H186" s="17"/>
      <c r="I186" s="44"/>
    </row>
    <row r="187" spans="2:9" s="27" customFormat="1" ht="15">
      <c r="B187" s="39"/>
      <c r="C187" s="39"/>
      <c r="D187" s="39"/>
      <c r="E187" s="39"/>
      <c r="F187" s="40"/>
      <c r="G187" s="40"/>
      <c r="H187" s="17"/>
      <c r="I187" s="44"/>
    </row>
    <row r="188" spans="2:9" s="27" customFormat="1" ht="15">
      <c r="B188" s="39"/>
      <c r="C188" s="39"/>
      <c r="D188" s="39"/>
      <c r="E188" s="39"/>
      <c r="F188" s="40"/>
      <c r="G188" s="40"/>
      <c r="H188" s="17"/>
      <c r="I188" s="44"/>
    </row>
    <row r="189" spans="2:9" s="27" customFormat="1" ht="15">
      <c r="B189" s="39"/>
      <c r="C189" s="39"/>
      <c r="D189" s="39"/>
      <c r="E189" s="39"/>
      <c r="F189" s="40"/>
      <c r="G189" s="40"/>
      <c r="H189" s="17"/>
      <c r="I189" s="44"/>
    </row>
    <row r="190" spans="2:9" s="27" customFormat="1" ht="15">
      <c r="B190" s="39"/>
      <c r="C190" s="39"/>
      <c r="D190" s="39"/>
      <c r="E190" s="39"/>
      <c r="F190" s="40"/>
      <c r="G190" s="40"/>
      <c r="H190" s="17"/>
      <c r="I190" s="44"/>
    </row>
    <row r="191" spans="2:9" s="27" customFormat="1" ht="15">
      <c r="B191" s="39"/>
      <c r="C191" s="39"/>
      <c r="D191" s="39"/>
      <c r="E191" s="39"/>
      <c r="F191" s="40"/>
      <c r="G191" s="40"/>
      <c r="H191" s="17"/>
      <c r="I191" s="44"/>
    </row>
    <row r="192" spans="2:9" s="27" customFormat="1" ht="15">
      <c r="B192" s="39"/>
      <c r="C192" s="39"/>
      <c r="D192" s="39"/>
      <c r="E192" s="39"/>
      <c r="F192" s="40"/>
      <c r="G192" s="40"/>
      <c r="H192" s="17"/>
      <c r="I192" s="44"/>
    </row>
    <row r="193" spans="2:9" s="27" customFormat="1" ht="15">
      <c r="B193" s="39"/>
      <c r="C193" s="39"/>
      <c r="D193" s="39"/>
      <c r="E193" s="39"/>
      <c r="F193" s="40"/>
      <c r="G193" s="40"/>
      <c r="H193" s="17"/>
      <c r="I193" s="44"/>
    </row>
    <row r="194" spans="2:9" s="27" customFormat="1" ht="15">
      <c r="B194" s="39"/>
      <c r="C194" s="39"/>
      <c r="D194" s="39"/>
      <c r="E194" s="39"/>
      <c r="F194" s="40"/>
      <c r="G194" s="40"/>
      <c r="H194" s="17"/>
      <c r="I194" s="44"/>
    </row>
    <row r="195" spans="2:9" s="27" customFormat="1" ht="15">
      <c r="B195" s="39"/>
      <c r="C195" s="39"/>
      <c r="D195" s="39"/>
      <c r="E195" s="39"/>
      <c r="F195" s="40"/>
      <c r="G195" s="40"/>
      <c r="H195" s="17"/>
      <c r="I195" s="44"/>
    </row>
    <row r="196" spans="2:9" s="27" customFormat="1" ht="15">
      <c r="B196" s="39"/>
      <c r="C196" s="39"/>
      <c r="D196" s="39"/>
      <c r="E196" s="39"/>
      <c r="F196" s="40"/>
      <c r="G196" s="40"/>
      <c r="H196" s="17"/>
      <c r="I196" s="44"/>
    </row>
    <row r="197" spans="2:9" s="27" customFormat="1" ht="15">
      <c r="B197" s="39"/>
      <c r="C197" s="39"/>
      <c r="D197" s="39"/>
      <c r="E197" s="39"/>
      <c r="F197" s="40"/>
      <c r="G197" s="40"/>
      <c r="H197" s="17"/>
      <c r="I197" s="44"/>
    </row>
    <row r="198" spans="2:9" s="27" customFormat="1" ht="15">
      <c r="B198" s="39"/>
      <c r="C198" s="39"/>
      <c r="D198" s="39"/>
      <c r="E198" s="39"/>
      <c r="F198" s="40"/>
      <c r="G198" s="40"/>
      <c r="H198" s="17"/>
      <c r="I198" s="44"/>
    </row>
    <row r="199" spans="2:9" s="27" customFormat="1" ht="15">
      <c r="B199" s="39"/>
      <c r="C199" s="39"/>
      <c r="D199" s="39"/>
      <c r="E199" s="39"/>
      <c r="F199" s="40"/>
      <c r="G199" s="40"/>
      <c r="H199" s="17"/>
      <c r="I199" s="44"/>
    </row>
    <row r="200" spans="2:9" s="27" customFormat="1" ht="15">
      <c r="B200" s="39"/>
      <c r="C200" s="39"/>
      <c r="D200" s="39"/>
      <c r="E200" s="39"/>
      <c r="F200" s="40"/>
      <c r="G200" s="40"/>
      <c r="H200" s="17"/>
      <c r="I200" s="44"/>
    </row>
    <row r="201" spans="2:9" s="27" customFormat="1" ht="15">
      <c r="B201" s="39"/>
      <c r="C201" s="39"/>
      <c r="D201" s="39"/>
      <c r="E201" s="39"/>
      <c r="F201" s="40"/>
      <c r="G201" s="40"/>
      <c r="H201" s="17"/>
      <c r="I201" s="44"/>
    </row>
    <row r="202" spans="2:9" s="27" customFormat="1" ht="15">
      <c r="B202" s="39"/>
      <c r="C202" s="39"/>
      <c r="D202" s="39"/>
      <c r="E202" s="39"/>
      <c r="F202" s="40"/>
      <c r="G202" s="40"/>
      <c r="H202" s="17"/>
      <c r="I202" s="44"/>
    </row>
    <row r="203" spans="2:9" s="27" customFormat="1" ht="15">
      <c r="B203" s="39"/>
      <c r="C203" s="39"/>
      <c r="D203" s="39"/>
      <c r="E203" s="39"/>
      <c r="F203" s="40"/>
      <c r="G203" s="40"/>
      <c r="H203" s="17"/>
      <c r="I203" s="44"/>
    </row>
    <row r="204" spans="2:9" s="27" customFormat="1" ht="15">
      <c r="B204" s="39"/>
      <c r="C204" s="39"/>
      <c r="D204" s="39"/>
      <c r="E204" s="39"/>
      <c r="F204" s="40"/>
      <c r="G204" s="40"/>
      <c r="H204" s="17"/>
      <c r="I204" s="44"/>
    </row>
    <row r="205" spans="2:9" s="27" customFormat="1" ht="15">
      <c r="B205" s="39"/>
      <c r="C205" s="39"/>
      <c r="D205" s="39"/>
      <c r="E205" s="39"/>
      <c r="F205" s="40"/>
      <c r="G205" s="40"/>
      <c r="H205" s="17"/>
      <c r="I205" s="44"/>
    </row>
    <row r="206" spans="2:9" s="27" customFormat="1" ht="15">
      <c r="B206" s="39"/>
      <c r="C206" s="39"/>
      <c r="D206" s="39"/>
      <c r="E206" s="39"/>
      <c r="F206" s="40"/>
      <c r="G206" s="40"/>
      <c r="H206" s="17"/>
      <c r="I206" s="44"/>
    </row>
    <row r="207" spans="2:9" s="27" customFormat="1" ht="15">
      <c r="B207" s="39"/>
      <c r="C207" s="39"/>
      <c r="D207" s="39"/>
      <c r="E207" s="39"/>
      <c r="F207" s="40"/>
      <c r="G207" s="40"/>
      <c r="H207" s="17"/>
      <c r="I207" s="44"/>
    </row>
    <row r="208" spans="2:9" s="27" customFormat="1" ht="15">
      <c r="B208" s="39"/>
      <c r="C208" s="39"/>
      <c r="D208" s="39"/>
      <c r="E208" s="39"/>
      <c r="F208" s="40"/>
      <c r="G208" s="40"/>
      <c r="H208" s="17"/>
      <c r="I208" s="44"/>
    </row>
    <row r="209" spans="2:9" s="27" customFormat="1" ht="15">
      <c r="B209" s="39"/>
      <c r="C209" s="39"/>
      <c r="D209" s="39"/>
      <c r="E209" s="39"/>
      <c r="F209" s="40"/>
      <c r="G209" s="40"/>
      <c r="H209" s="17"/>
      <c r="I209" s="44"/>
    </row>
    <row r="210" spans="2:9" s="27" customFormat="1" ht="15">
      <c r="B210" s="39"/>
      <c r="C210" s="39"/>
      <c r="D210" s="39"/>
      <c r="E210" s="39"/>
      <c r="F210" s="40"/>
      <c r="G210" s="40"/>
      <c r="H210" s="17"/>
      <c r="I210" s="44"/>
    </row>
    <row r="211" spans="2:9" s="27" customFormat="1" ht="15">
      <c r="B211" s="39"/>
      <c r="C211" s="39"/>
      <c r="D211" s="39"/>
      <c r="E211" s="39"/>
      <c r="F211" s="40"/>
      <c r="G211" s="40"/>
      <c r="H211" s="17"/>
      <c r="I211" s="44"/>
    </row>
    <row r="212" spans="2:9" s="27" customFormat="1" ht="15">
      <c r="B212" s="39"/>
      <c r="C212" s="39"/>
      <c r="D212" s="39"/>
      <c r="E212" s="39"/>
      <c r="F212" s="40"/>
      <c r="G212" s="40"/>
      <c r="H212" s="17"/>
      <c r="I212" s="44"/>
    </row>
    <row r="213" spans="2:9" s="27" customFormat="1" ht="15">
      <c r="B213" s="39"/>
      <c r="C213" s="39"/>
      <c r="D213" s="39"/>
      <c r="E213" s="39"/>
      <c r="F213" s="40"/>
      <c r="G213" s="40"/>
      <c r="H213" s="17"/>
      <c r="I213" s="44"/>
    </row>
    <row r="214" spans="2:9" s="27" customFormat="1" ht="15">
      <c r="B214" s="39"/>
      <c r="C214" s="39"/>
      <c r="D214" s="39"/>
      <c r="E214" s="39"/>
      <c r="F214" s="40"/>
      <c r="G214" s="40"/>
      <c r="H214" s="17"/>
      <c r="I214" s="44"/>
    </row>
    <row r="215" spans="1:9" ht="15.75" customHeight="1">
      <c r="A215" s="426" t="s">
        <v>143</v>
      </c>
      <c r="B215" s="426"/>
      <c r="C215" s="426"/>
      <c r="D215" s="426"/>
      <c r="E215" s="426"/>
      <c r="F215" s="426"/>
      <c r="G215" s="426"/>
      <c r="H215" s="426"/>
      <c r="I215" s="426"/>
    </row>
    <row r="216" ht="14.25">
      <c r="D216" s="33"/>
    </row>
    <row r="217" spans="1:9" ht="15">
      <c r="A217" s="329" t="s">
        <v>115</v>
      </c>
      <c r="B217" s="330"/>
      <c r="C217" s="330"/>
      <c r="D217" s="330"/>
      <c r="E217" s="331"/>
      <c r="F217" s="330"/>
      <c r="G217" s="331">
        <f>'Gral y X Prog.'!I28</f>
        <v>970127.38</v>
      </c>
      <c r="H217" s="330"/>
      <c r="I217" s="330"/>
    </row>
    <row r="218" spans="1:9" ht="42.75" customHeight="1">
      <c r="A218" s="415" t="s">
        <v>513</v>
      </c>
      <c r="B218" s="415"/>
      <c r="C218" s="415"/>
      <c r="D218" s="415"/>
      <c r="E218" s="415"/>
      <c r="F218" s="415"/>
      <c r="G218" s="415"/>
      <c r="H218" s="415"/>
      <c r="I218" s="415"/>
    </row>
    <row r="219" ht="14.25">
      <c r="D219" s="33"/>
    </row>
    <row r="220" spans="1:9" ht="15">
      <c r="A220" s="329" t="s">
        <v>115</v>
      </c>
      <c r="B220" s="330"/>
      <c r="C220" s="330"/>
      <c r="D220" s="330"/>
      <c r="E220" s="331"/>
      <c r="F220" s="330"/>
      <c r="G220" s="331">
        <f>'Gral y X Prog.'!I30</f>
        <v>55505.9</v>
      </c>
      <c r="H220" s="330"/>
      <c r="I220" s="330"/>
    </row>
    <row r="221" spans="1:9" ht="41.25" customHeight="1">
      <c r="A221" s="415" t="s">
        <v>514</v>
      </c>
      <c r="B221" s="415"/>
      <c r="C221" s="415"/>
      <c r="D221" s="415"/>
      <c r="E221" s="415"/>
      <c r="F221" s="415"/>
      <c r="G221" s="415"/>
      <c r="H221" s="415"/>
      <c r="I221" s="415"/>
    </row>
    <row r="222" spans="1:9" ht="19.5" customHeight="1">
      <c r="A222" s="18"/>
      <c r="B222" s="18"/>
      <c r="C222" s="18"/>
      <c r="D222" s="18"/>
      <c r="E222" s="18"/>
      <c r="F222" s="18"/>
      <c r="G222" s="18"/>
      <c r="H222" s="18"/>
      <c r="I222" s="18"/>
    </row>
    <row r="223" spans="1:9" ht="15">
      <c r="A223" s="329" t="s">
        <v>26</v>
      </c>
      <c r="B223" s="330"/>
      <c r="C223" s="330"/>
      <c r="D223" s="330"/>
      <c r="E223" s="331"/>
      <c r="F223" s="330"/>
      <c r="G223" s="331">
        <f>'Gral y X Prog.'!I44</f>
        <v>31233005.850000005</v>
      </c>
      <c r="H223" s="330"/>
      <c r="I223" s="330"/>
    </row>
    <row r="224" spans="1:9" ht="27.75" customHeight="1">
      <c r="A224" s="434" t="s">
        <v>515</v>
      </c>
      <c r="B224" s="434"/>
      <c r="C224" s="434"/>
      <c r="D224" s="434"/>
      <c r="E224" s="434"/>
      <c r="F224" s="434"/>
      <c r="G224" s="434"/>
      <c r="H224" s="434"/>
      <c r="I224" s="434"/>
    </row>
    <row r="225" spans="1:6" ht="14.25">
      <c r="A225" s="415"/>
      <c r="B225" s="415"/>
      <c r="C225" s="415"/>
      <c r="D225" s="415"/>
      <c r="E225" s="415"/>
      <c r="F225" s="415"/>
    </row>
    <row r="226" ht="15">
      <c r="A226" s="29" t="s">
        <v>9</v>
      </c>
    </row>
    <row r="227" ht="15">
      <c r="A227" s="29"/>
    </row>
    <row r="228" spans="2:7" ht="15">
      <c r="B228" s="404" t="s">
        <v>16</v>
      </c>
      <c r="C228" s="404"/>
      <c r="D228" s="404"/>
      <c r="E228" s="404"/>
      <c r="F228" s="404" t="s">
        <v>21</v>
      </c>
      <c r="G228" s="404"/>
    </row>
    <row r="229" spans="2:7" ht="34.5" customHeight="1">
      <c r="B229" s="421" t="s">
        <v>270</v>
      </c>
      <c r="C229" s="422"/>
      <c r="D229" s="422"/>
      <c r="E229" s="423"/>
      <c r="F229" s="402">
        <v>2990848</v>
      </c>
      <c r="G229" s="403"/>
    </row>
    <row r="230" spans="2:7" ht="30" customHeight="1">
      <c r="B230" s="440" t="s">
        <v>271</v>
      </c>
      <c r="C230" s="441"/>
      <c r="D230" s="441"/>
      <c r="E230" s="442"/>
      <c r="F230" s="416">
        <v>106174</v>
      </c>
      <c r="G230" s="417"/>
    </row>
    <row r="231" spans="2:7" ht="15">
      <c r="B231" s="404" t="s">
        <v>36</v>
      </c>
      <c r="C231" s="404"/>
      <c r="D231" s="404"/>
      <c r="E231" s="404"/>
      <c r="F231" s="405">
        <f>SUM(F229:F230)</f>
        <v>3097022</v>
      </c>
      <c r="G231" s="406"/>
    </row>
    <row r="233" spans="1:9" ht="14.25" customHeight="1">
      <c r="A233" s="29" t="s">
        <v>113</v>
      </c>
      <c r="I233" s="32"/>
    </row>
    <row r="234" ht="14.25" customHeight="1">
      <c r="A234" s="29"/>
    </row>
    <row r="235" spans="2:7" ht="15">
      <c r="B235" s="404" t="s">
        <v>16</v>
      </c>
      <c r="C235" s="404"/>
      <c r="D235" s="404"/>
      <c r="E235" s="404"/>
      <c r="F235" s="404" t="s">
        <v>21</v>
      </c>
      <c r="G235" s="404"/>
    </row>
    <row r="236" spans="2:7" ht="33" customHeight="1">
      <c r="B236" s="421" t="s">
        <v>517</v>
      </c>
      <c r="C236" s="422"/>
      <c r="D236" s="422"/>
      <c r="E236" s="423"/>
      <c r="F236" s="402">
        <v>14594.05</v>
      </c>
      <c r="G236" s="403"/>
    </row>
    <row r="237" spans="2:7" ht="16.5" customHeight="1">
      <c r="B237" s="435" t="s">
        <v>516</v>
      </c>
      <c r="C237" s="436"/>
      <c r="D237" s="436"/>
      <c r="E237" s="437"/>
      <c r="F237" s="416">
        <v>30004654.290000003</v>
      </c>
      <c r="G237" s="417"/>
    </row>
    <row r="238" spans="2:7" ht="28.5" customHeight="1">
      <c r="B238" s="421" t="s">
        <v>268</v>
      </c>
      <c r="C238" s="422"/>
      <c r="D238" s="422"/>
      <c r="E238" s="423"/>
      <c r="F238" s="402">
        <v>115750</v>
      </c>
      <c r="G238" s="403"/>
    </row>
    <row r="239" spans="2:7" ht="15">
      <c r="B239" s="404" t="s">
        <v>36</v>
      </c>
      <c r="C239" s="404"/>
      <c r="D239" s="404"/>
      <c r="E239" s="404"/>
      <c r="F239" s="405">
        <f>SUM(F236:F238)</f>
        <v>30134998.340000004</v>
      </c>
      <c r="G239" s="406"/>
    </row>
  </sheetData>
  <sheetProtection/>
  <mergeCells count="135">
    <mergeCell ref="A125:I125"/>
    <mergeCell ref="B126:E126"/>
    <mergeCell ref="F126:G126"/>
    <mergeCell ref="F127:G127"/>
    <mergeCell ref="B127:E127"/>
    <mergeCell ref="C77:F77"/>
    <mergeCell ref="G77:H77"/>
    <mergeCell ref="C78:F78"/>
    <mergeCell ref="G78:H78"/>
    <mergeCell ref="C79:F79"/>
    <mergeCell ref="G79:H79"/>
    <mergeCell ref="G66:H66"/>
    <mergeCell ref="G67:H67"/>
    <mergeCell ref="B21:E21"/>
    <mergeCell ref="F22:G22"/>
    <mergeCell ref="C76:F76"/>
    <mergeCell ref="G76:H76"/>
    <mergeCell ref="G65:H65"/>
    <mergeCell ref="C63:F63"/>
    <mergeCell ref="A61:I61"/>
    <mergeCell ref="B174:E174"/>
    <mergeCell ref="F173:G173"/>
    <mergeCell ref="F174:G174"/>
    <mergeCell ref="A215:I215"/>
    <mergeCell ref="A10:E10"/>
    <mergeCell ref="A11:I11"/>
    <mergeCell ref="F20:G20"/>
    <mergeCell ref="F21:G21"/>
    <mergeCell ref="C66:F66"/>
    <mergeCell ref="C67:F67"/>
    <mergeCell ref="B230:E230"/>
    <mergeCell ref="B239:E239"/>
    <mergeCell ref="B238:E238"/>
    <mergeCell ref="F159:G159"/>
    <mergeCell ref="F172:G172"/>
    <mergeCell ref="F168:G168"/>
    <mergeCell ref="F167:G167"/>
    <mergeCell ref="B173:E173"/>
    <mergeCell ref="B166:E166"/>
    <mergeCell ref="F166:G166"/>
    <mergeCell ref="F136:G136"/>
    <mergeCell ref="F145:G145"/>
    <mergeCell ref="B157:E157"/>
    <mergeCell ref="B138:E138"/>
    <mergeCell ref="B146:E146"/>
    <mergeCell ref="B144:E144"/>
    <mergeCell ref="F139:G139"/>
    <mergeCell ref="F138:G138"/>
    <mergeCell ref="F148:G148"/>
    <mergeCell ref="B159:E159"/>
    <mergeCell ref="B128:E128"/>
    <mergeCell ref="F128:G128"/>
    <mergeCell ref="G75:H75"/>
    <mergeCell ref="F146:G146"/>
    <mergeCell ref="F147:G147"/>
    <mergeCell ref="B158:E158"/>
    <mergeCell ref="F158:G158"/>
    <mergeCell ref="F156:G156"/>
    <mergeCell ref="B152:E152"/>
    <mergeCell ref="F237:G237"/>
    <mergeCell ref="B237:E237"/>
    <mergeCell ref="F239:G239"/>
    <mergeCell ref="B236:E236"/>
    <mergeCell ref="F238:G238"/>
    <mergeCell ref="F236:G236"/>
    <mergeCell ref="A221:I221"/>
    <mergeCell ref="A224:I224"/>
    <mergeCell ref="F135:G135"/>
    <mergeCell ref="G68:H68"/>
    <mergeCell ref="B136:E136"/>
    <mergeCell ref="F137:G137"/>
    <mergeCell ref="B137:E137"/>
    <mergeCell ref="C68:F68"/>
    <mergeCell ref="A131:I131"/>
    <mergeCell ref="B135:E135"/>
    <mergeCell ref="A5:I5"/>
    <mergeCell ref="A15:I15"/>
    <mergeCell ref="F144:G144"/>
    <mergeCell ref="A57:I57"/>
    <mergeCell ref="A13:E13"/>
    <mergeCell ref="C69:F69"/>
    <mergeCell ref="G69:H69"/>
    <mergeCell ref="A8:I8"/>
    <mergeCell ref="A122:I122"/>
    <mergeCell ref="C65:F65"/>
    <mergeCell ref="B18:E18"/>
    <mergeCell ref="F18:G18"/>
    <mergeCell ref="B19:E19"/>
    <mergeCell ref="F19:G19"/>
    <mergeCell ref="A73:I73"/>
    <mergeCell ref="C75:F75"/>
    <mergeCell ref="A55:I55"/>
    <mergeCell ref="A59:I59"/>
    <mergeCell ref="G63:H63"/>
    <mergeCell ref="C64:F64"/>
    <mergeCell ref="A1:I1"/>
    <mergeCell ref="A2:I2"/>
    <mergeCell ref="A3:I3"/>
    <mergeCell ref="A50:I50"/>
    <mergeCell ref="B22:E22"/>
    <mergeCell ref="B139:E139"/>
    <mergeCell ref="B20:E20"/>
    <mergeCell ref="A53:I53"/>
    <mergeCell ref="G64:H64"/>
    <mergeCell ref="A7:E7"/>
    <mergeCell ref="F149:G149"/>
    <mergeCell ref="B149:E149"/>
    <mergeCell ref="B145:E145"/>
    <mergeCell ref="B156:E156"/>
    <mergeCell ref="F231:G231"/>
    <mergeCell ref="B229:E229"/>
    <mergeCell ref="B147:E147"/>
    <mergeCell ref="B148:E148"/>
    <mergeCell ref="B151:E151"/>
    <mergeCell ref="F152:G152"/>
    <mergeCell ref="F157:G157"/>
    <mergeCell ref="F235:G235"/>
    <mergeCell ref="B235:E235"/>
    <mergeCell ref="A225:F225"/>
    <mergeCell ref="F230:G230"/>
    <mergeCell ref="B228:E228"/>
    <mergeCell ref="F228:G228"/>
    <mergeCell ref="A218:I218"/>
    <mergeCell ref="B167:E167"/>
    <mergeCell ref="B231:E231"/>
    <mergeCell ref="B150:E150"/>
    <mergeCell ref="F229:G229"/>
    <mergeCell ref="B175:E175"/>
    <mergeCell ref="F175:G175"/>
    <mergeCell ref="B168:E168"/>
    <mergeCell ref="B172:E172"/>
    <mergeCell ref="F150:G150"/>
    <mergeCell ref="F151:G151"/>
    <mergeCell ref="F160:G160"/>
    <mergeCell ref="B160:E160"/>
  </mergeCells>
  <printOptions horizontalCentered="1"/>
  <pageMargins left="0.3937007874015748" right="0.3937007874015748" top="0.3937007874015748" bottom="0.3937007874015748" header="0" footer="0"/>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F23"/>
  <sheetViews>
    <sheetView showGridLines="0" zoomScale="110" zoomScaleNormal="110" zoomScalePageLayoutView="0" workbookViewId="0" topLeftCell="A1">
      <selection activeCell="B8" sqref="B8"/>
    </sheetView>
  </sheetViews>
  <sheetFormatPr defaultColWidth="11.421875" defaultRowHeight="12.75"/>
  <cols>
    <col min="1" max="1" width="16.421875" style="101" customWidth="1"/>
    <col min="2" max="2" width="45.28125" style="85" customWidth="1"/>
    <col min="3" max="3" width="22.00390625" style="87" customWidth="1"/>
    <col min="4" max="4" width="64.7109375" style="85" customWidth="1"/>
    <col min="5" max="5" width="16.57421875" style="85" bestFit="1" customWidth="1"/>
    <col min="6" max="6" width="16.28125" style="85" customWidth="1"/>
    <col min="7" max="16384" width="11.421875" style="85" customWidth="1"/>
  </cols>
  <sheetData>
    <row r="1" spans="1:4" ht="18">
      <c r="A1" s="454" t="s">
        <v>23</v>
      </c>
      <c r="B1" s="454"/>
      <c r="C1" s="454"/>
      <c r="D1" s="454"/>
    </row>
    <row r="2" spans="1:4" ht="18">
      <c r="A2" s="454" t="s">
        <v>258</v>
      </c>
      <c r="B2" s="454"/>
      <c r="C2" s="454"/>
      <c r="D2" s="454"/>
    </row>
    <row r="3" spans="1:4" ht="18.75" thickBot="1">
      <c r="A3" s="84"/>
      <c r="B3" s="84"/>
      <c r="C3" s="84"/>
      <c r="D3" s="84"/>
    </row>
    <row r="4" spans="1:6" ht="22.5" customHeight="1">
      <c r="A4" s="86" t="s">
        <v>233</v>
      </c>
      <c r="B4" s="86" t="s">
        <v>78</v>
      </c>
      <c r="C4" s="86" t="s">
        <v>13</v>
      </c>
      <c r="D4" s="86" t="s">
        <v>14</v>
      </c>
      <c r="F4" s="87"/>
    </row>
    <row r="5" spans="1:5" ht="18" customHeight="1">
      <c r="A5" s="88"/>
      <c r="B5" s="88"/>
      <c r="C5" s="89">
        <f>+SUM(C6:C14)</f>
        <v>87813787.37</v>
      </c>
      <c r="D5" s="88"/>
      <c r="E5" s="87"/>
    </row>
    <row r="6" spans="1:4" s="94" customFormat="1" ht="39" customHeight="1">
      <c r="A6" s="90" t="s">
        <v>245</v>
      </c>
      <c r="B6" s="91" t="s">
        <v>200</v>
      </c>
      <c r="C6" s="92">
        <v>20000000</v>
      </c>
      <c r="D6" s="93" t="s">
        <v>262</v>
      </c>
    </row>
    <row r="7" spans="1:4" s="94" customFormat="1" ht="29.25" customHeight="1">
      <c r="A7" s="95" t="s">
        <v>245</v>
      </c>
      <c r="B7" s="96" t="s">
        <v>200</v>
      </c>
      <c r="C7" s="97">
        <v>6000000</v>
      </c>
      <c r="D7" s="98" t="s">
        <v>309</v>
      </c>
    </row>
    <row r="8" spans="1:4" s="94" customFormat="1" ht="51.75" customHeight="1">
      <c r="A8" s="90" t="s">
        <v>361</v>
      </c>
      <c r="B8" s="91" t="s">
        <v>362</v>
      </c>
      <c r="C8" s="92">
        <f>5000000</f>
        <v>5000000</v>
      </c>
      <c r="D8" s="93" t="s">
        <v>383</v>
      </c>
    </row>
    <row r="9" spans="1:4" s="94" customFormat="1" ht="27.75" customHeight="1">
      <c r="A9" s="95" t="s">
        <v>306</v>
      </c>
      <c r="B9" s="96" t="s">
        <v>307</v>
      </c>
      <c r="C9" s="97">
        <v>30000000</v>
      </c>
      <c r="D9" s="98" t="s">
        <v>308</v>
      </c>
    </row>
    <row r="10" spans="1:4" s="94" customFormat="1" ht="18.75" customHeight="1">
      <c r="A10" s="90" t="s">
        <v>306</v>
      </c>
      <c r="B10" s="91" t="s">
        <v>307</v>
      </c>
      <c r="C10" s="92">
        <v>11000000</v>
      </c>
      <c r="D10" s="93" t="s">
        <v>354</v>
      </c>
    </row>
    <row r="11" spans="1:4" s="94" customFormat="1" ht="39" customHeight="1">
      <c r="A11" s="95" t="s">
        <v>291</v>
      </c>
      <c r="B11" s="96" t="s">
        <v>292</v>
      </c>
      <c r="C11" s="97">
        <v>3000000</v>
      </c>
      <c r="D11" s="98" t="s">
        <v>293</v>
      </c>
    </row>
    <row r="12" spans="1:4" s="94" customFormat="1" ht="39" customHeight="1">
      <c r="A12" s="90" t="s">
        <v>147</v>
      </c>
      <c r="B12" s="91" t="s">
        <v>260</v>
      </c>
      <c r="C12" s="92">
        <v>1424286.34</v>
      </c>
      <c r="D12" s="93" t="s">
        <v>261</v>
      </c>
    </row>
    <row r="13" spans="1:4" s="94" customFormat="1" ht="28.5" customHeight="1">
      <c r="A13" s="95" t="s">
        <v>148</v>
      </c>
      <c r="B13" s="96" t="s">
        <v>146</v>
      </c>
      <c r="C13" s="97">
        <v>3650314.35</v>
      </c>
      <c r="D13" s="98" t="s">
        <v>47</v>
      </c>
    </row>
    <row r="14" spans="1:4" s="94" customFormat="1" ht="36" customHeight="1" thickBot="1">
      <c r="A14" s="90" t="s">
        <v>225</v>
      </c>
      <c r="B14" s="91" t="s">
        <v>226</v>
      </c>
      <c r="C14" s="92">
        <v>7739186.68</v>
      </c>
      <c r="D14" s="93" t="s">
        <v>259</v>
      </c>
    </row>
    <row r="15" spans="1:4" ht="15.75" thickBot="1">
      <c r="A15" s="455" t="s">
        <v>17</v>
      </c>
      <c r="B15" s="456"/>
      <c r="C15" s="99">
        <f>SUM(C6:C14)</f>
        <v>87813787.37</v>
      </c>
      <c r="D15" s="100"/>
    </row>
    <row r="16" spans="2:4" ht="12.75">
      <c r="B16" s="102"/>
      <c r="D16" s="87"/>
    </row>
    <row r="20" ht="12.75">
      <c r="B20" s="87"/>
    </row>
    <row r="23" spans="1:3" s="94" customFormat="1" ht="12.75">
      <c r="A23" s="103"/>
      <c r="B23" s="104"/>
      <c r="C23" s="105"/>
    </row>
  </sheetData>
  <sheetProtection/>
  <mergeCells count="3">
    <mergeCell ref="A1:D1"/>
    <mergeCell ref="A2:D2"/>
    <mergeCell ref="A15:B15"/>
  </mergeCells>
  <printOptions horizontalCentered="1"/>
  <pageMargins left="0.1968503937007874" right="0.1968503937007874" top="0.3937007874015748" bottom="0.15748031496062992" header="0" footer="0"/>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C8" sqref="C8"/>
    </sheetView>
  </sheetViews>
  <sheetFormatPr defaultColWidth="11.421875" defaultRowHeight="12.75"/>
  <cols>
    <col min="1" max="1" width="21.421875" style="117" customWidth="1"/>
    <col min="2" max="2" width="47.00390625" style="117" customWidth="1"/>
    <col min="3" max="3" width="20.421875" style="68" customWidth="1"/>
    <col min="4" max="4" width="59.57421875" style="66" customWidth="1"/>
    <col min="5" max="5" width="11.421875" style="66" customWidth="1"/>
    <col min="6" max="6" width="15.421875" style="66" bestFit="1" customWidth="1"/>
    <col min="7" max="7" width="13.7109375" style="66" bestFit="1" customWidth="1"/>
    <col min="8" max="16384" width="11.421875" style="66" customWidth="1"/>
  </cols>
  <sheetData>
    <row r="1" spans="1:4" ht="18.75" customHeight="1">
      <c r="A1" s="457" t="s">
        <v>22</v>
      </c>
      <c r="B1" s="457"/>
      <c r="C1" s="457"/>
      <c r="D1" s="457"/>
    </row>
    <row r="2" spans="1:4" ht="18" customHeight="1">
      <c r="A2" s="457" t="s">
        <v>258</v>
      </c>
      <c r="B2" s="457"/>
      <c r="C2" s="457"/>
      <c r="D2" s="457"/>
    </row>
    <row r="3" spans="1:4" ht="18" customHeight="1">
      <c r="A3" s="106"/>
      <c r="B3" s="106"/>
      <c r="C3" s="106"/>
      <c r="D3" s="106"/>
    </row>
    <row r="4" spans="1:4" ht="38.25" customHeight="1">
      <c r="A4" s="107" t="s">
        <v>123</v>
      </c>
      <c r="B4" s="107" t="s">
        <v>78</v>
      </c>
      <c r="C4" s="107" t="s">
        <v>13</v>
      </c>
      <c r="D4" s="107" t="s">
        <v>14</v>
      </c>
    </row>
    <row r="5" spans="1:6" ht="15" customHeight="1">
      <c r="A5" s="108"/>
      <c r="B5" s="109"/>
      <c r="C5" s="110">
        <f>SUM(C6:C54)</f>
        <v>151765757.08999997</v>
      </c>
      <c r="D5" s="111"/>
      <c r="F5" s="68"/>
    </row>
    <row r="6" spans="1:6" ht="15" customHeight="1">
      <c r="A6" s="364" t="s">
        <v>343</v>
      </c>
      <c r="B6" s="365" t="s">
        <v>344</v>
      </c>
      <c r="C6" s="366">
        <v>322574.35</v>
      </c>
      <c r="D6" s="93" t="s">
        <v>345</v>
      </c>
      <c r="F6" s="68"/>
    </row>
    <row r="7" spans="1:6" ht="93" customHeight="1">
      <c r="A7" s="112" t="s">
        <v>288</v>
      </c>
      <c r="B7" s="113" t="s">
        <v>289</v>
      </c>
      <c r="C7" s="114">
        <v>-215720161.08</v>
      </c>
      <c r="D7" s="98" t="s">
        <v>290</v>
      </c>
      <c r="F7" s="68"/>
    </row>
    <row r="8" spans="1:6" ht="48.75" customHeight="1">
      <c r="A8" s="364" t="s">
        <v>284</v>
      </c>
      <c r="B8" s="365" t="s">
        <v>285</v>
      </c>
      <c r="C8" s="366">
        <v>3733922.51</v>
      </c>
      <c r="D8" s="93" t="s">
        <v>322</v>
      </c>
      <c r="F8" s="68"/>
    </row>
    <row r="9" spans="1:6" ht="50.25" customHeight="1">
      <c r="A9" s="112" t="s">
        <v>284</v>
      </c>
      <c r="B9" s="113" t="s">
        <v>285</v>
      </c>
      <c r="C9" s="114">
        <v>24786077.49</v>
      </c>
      <c r="D9" s="98" t="s">
        <v>321</v>
      </c>
      <c r="F9" s="68"/>
    </row>
    <row r="10" spans="1:6" ht="32.25" customHeight="1">
      <c r="A10" s="364" t="s">
        <v>348</v>
      </c>
      <c r="B10" s="365" t="s">
        <v>346</v>
      </c>
      <c r="C10" s="366">
        <v>1535122.77</v>
      </c>
      <c r="D10" s="93" t="s">
        <v>347</v>
      </c>
      <c r="F10" s="68"/>
    </row>
    <row r="11" spans="1:6" ht="33.75" customHeight="1">
      <c r="A11" s="112" t="s">
        <v>441</v>
      </c>
      <c r="B11" s="113" t="s">
        <v>204</v>
      </c>
      <c r="C11" s="114">
        <v>2500000</v>
      </c>
      <c r="D11" s="98" t="s">
        <v>444</v>
      </c>
      <c r="F11" s="67"/>
    </row>
    <row r="12" spans="1:6" ht="36" customHeight="1">
      <c r="A12" s="364" t="s">
        <v>280</v>
      </c>
      <c r="B12" s="365" t="s">
        <v>192</v>
      </c>
      <c r="C12" s="366">
        <v>2312443.42</v>
      </c>
      <c r="D12" s="93" t="s">
        <v>281</v>
      </c>
      <c r="F12" s="67"/>
    </row>
    <row r="13" spans="1:6" ht="36" customHeight="1">
      <c r="A13" s="112" t="s">
        <v>282</v>
      </c>
      <c r="B13" s="113" t="s">
        <v>191</v>
      </c>
      <c r="C13" s="114">
        <v>2000000</v>
      </c>
      <c r="D13" s="98" t="s">
        <v>281</v>
      </c>
      <c r="F13" s="67"/>
    </row>
    <row r="14" spans="1:6" ht="45.75" customHeight="1">
      <c r="A14" s="364" t="s">
        <v>310</v>
      </c>
      <c r="B14" s="365" t="s">
        <v>311</v>
      </c>
      <c r="C14" s="366">
        <v>4000000</v>
      </c>
      <c r="D14" s="93" t="s">
        <v>312</v>
      </c>
      <c r="F14" s="67"/>
    </row>
    <row r="15" spans="1:6" ht="30" customHeight="1">
      <c r="A15" s="112" t="s">
        <v>445</v>
      </c>
      <c r="B15" s="113" t="s">
        <v>442</v>
      </c>
      <c r="C15" s="114">
        <v>10000000</v>
      </c>
      <c r="D15" s="98" t="s">
        <v>455</v>
      </c>
      <c r="F15" s="67"/>
    </row>
    <row r="16" spans="1:6" ht="39.75" customHeight="1">
      <c r="A16" s="364" t="s">
        <v>458</v>
      </c>
      <c r="B16" s="365" t="s">
        <v>459</v>
      </c>
      <c r="C16" s="366">
        <v>1136598.7</v>
      </c>
      <c r="D16" s="93" t="s">
        <v>460</v>
      </c>
      <c r="F16" s="67"/>
    </row>
    <row r="17" spans="1:6" ht="33.75" customHeight="1">
      <c r="A17" s="112" t="s">
        <v>209</v>
      </c>
      <c r="B17" s="113" t="s">
        <v>204</v>
      </c>
      <c r="C17" s="114">
        <v>1670764.6</v>
      </c>
      <c r="D17" s="98" t="s">
        <v>264</v>
      </c>
      <c r="F17" s="67"/>
    </row>
    <row r="18" spans="1:6" ht="47.25" customHeight="1">
      <c r="A18" s="364" t="s">
        <v>209</v>
      </c>
      <c r="B18" s="365" t="s">
        <v>204</v>
      </c>
      <c r="C18" s="366">
        <v>34678000</v>
      </c>
      <c r="D18" s="93" t="s">
        <v>432</v>
      </c>
      <c r="F18" s="67"/>
    </row>
    <row r="19" spans="1:6" ht="47.25" customHeight="1">
      <c r="A19" s="112" t="s">
        <v>376</v>
      </c>
      <c r="B19" s="113" t="s">
        <v>377</v>
      </c>
      <c r="C19" s="114">
        <v>30000000</v>
      </c>
      <c r="D19" s="98" t="s">
        <v>456</v>
      </c>
      <c r="F19" s="67"/>
    </row>
    <row r="20" spans="1:6" ht="76.5" customHeight="1">
      <c r="A20" s="364" t="s">
        <v>424</v>
      </c>
      <c r="B20" s="365" t="s">
        <v>384</v>
      </c>
      <c r="C20" s="366">
        <v>6000000</v>
      </c>
      <c r="D20" s="93" t="s">
        <v>457</v>
      </c>
      <c r="F20" s="67"/>
    </row>
    <row r="21" spans="1:6" ht="30.75" customHeight="1">
      <c r="A21" s="112" t="s">
        <v>208</v>
      </c>
      <c r="B21" s="113" t="s">
        <v>227</v>
      </c>
      <c r="C21" s="114">
        <v>22251261.29</v>
      </c>
      <c r="D21" s="98" t="s">
        <v>263</v>
      </c>
      <c r="F21" s="67"/>
    </row>
    <row r="22" spans="1:6" ht="28.5" customHeight="1">
      <c r="A22" s="364" t="s">
        <v>208</v>
      </c>
      <c r="B22" s="365" t="s">
        <v>227</v>
      </c>
      <c r="C22" s="366">
        <v>20000000</v>
      </c>
      <c r="D22" s="93" t="s">
        <v>443</v>
      </c>
      <c r="F22" s="67"/>
    </row>
    <row r="23" spans="1:6" ht="77.25" customHeight="1">
      <c r="A23" s="112" t="s">
        <v>286</v>
      </c>
      <c r="B23" s="113" t="s">
        <v>227</v>
      </c>
      <c r="C23" s="114">
        <v>-25000000</v>
      </c>
      <c r="D23" s="98" t="s">
        <v>287</v>
      </c>
      <c r="F23" s="67"/>
    </row>
    <row r="24" spans="1:6" ht="30.75" customHeight="1">
      <c r="A24" s="364" t="s">
        <v>363</v>
      </c>
      <c r="B24" s="365" t="s">
        <v>412</v>
      </c>
      <c r="C24" s="366">
        <v>9497067.3</v>
      </c>
      <c r="D24" s="93" t="s">
        <v>283</v>
      </c>
      <c r="F24" s="67"/>
    </row>
    <row r="25" spans="1:6" ht="15" customHeight="1">
      <c r="A25" s="112" t="s">
        <v>398</v>
      </c>
      <c r="B25" s="113" t="s">
        <v>399</v>
      </c>
      <c r="C25" s="114">
        <v>2450000</v>
      </c>
      <c r="D25" s="98" t="s">
        <v>475</v>
      </c>
      <c r="F25" s="67"/>
    </row>
    <row r="26" spans="1:6" ht="15" customHeight="1">
      <c r="A26" s="364" t="s">
        <v>468</v>
      </c>
      <c r="B26" s="365" t="s">
        <v>462</v>
      </c>
      <c r="C26" s="366">
        <f>+C25*8.33%-18590.32</f>
        <v>185494.68</v>
      </c>
      <c r="D26" s="93" t="s">
        <v>475</v>
      </c>
      <c r="F26" s="67"/>
    </row>
    <row r="27" spans="1:6" ht="15" customHeight="1">
      <c r="A27" s="112" t="s">
        <v>469</v>
      </c>
      <c r="B27" s="113" t="s">
        <v>173</v>
      </c>
      <c r="C27" s="114">
        <f>+C25*18%</f>
        <v>441000</v>
      </c>
      <c r="D27" s="98" t="s">
        <v>475</v>
      </c>
      <c r="F27" s="67"/>
    </row>
    <row r="28" spans="1:6" ht="15" customHeight="1">
      <c r="A28" s="364" t="s">
        <v>470</v>
      </c>
      <c r="B28" s="365" t="s">
        <v>463</v>
      </c>
      <c r="C28" s="366">
        <f>+C25*9.25%</f>
        <v>226625</v>
      </c>
      <c r="D28" s="93" t="s">
        <v>475</v>
      </c>
      <c r="F28" s="67"/>
    </row>
    <row r="29" spans="1:6" ht="15" customHeight="1">
      <c r="A29" s="112" t="s">
        <v>471</v>
      </c>
      <c r="B29" s="113" t="s">
        <v>464</v>
      </c>
      <c r="C29" s="114">
        <f>+C25*0.5%</f>
        <v>12250</v>
      </c>
      <c r="D29" s="98" t="s">
        <v>475</v>
      </c>
      <c r="F29" s="67"/>
    </row>
    <row r="30" spans="1:6" ht="15" customHeight="1">
      <c r="A30" s="364" t="s">
        <v>472</v>
      </c>
      <c r="B30" s="365" t="s">
        <v>465</v>
      </c>
      <c r="C30" s="366">
        <f>+C25*5.08%</f>
        <v>124460</v>
      </c>
      <c r="D30" s="93" t="s">
        <v>475</v>
      </c>
      <c r="F30" s="67"/>
    </row>
    <row r="31" spans="1:6" ht="15" customHeight="1">
      <c r="A31" s="112" t="s">
        <v>473</v>
      </c>
      <c r="B31" s="113" t="s">
        <v>466</v>
      </c>
      <c r="C31" s="114">
        <f>+C25*1.5%</f>
        <v>36750</v>
      </c>
      <c r="D31" s="98" t="s">
        <v>475</v>
      </c>
      <c r="F31" s="67"/>
    </row>
    <row r="32" spans="1:6" ht="15" customHeight="1">
      <c r="A32" s="364" t="s">
        <v>474</v>
      </c>
      <c r="B32" s="365" t="s">
        <v>467</v>
      </c>
      <c r="C32" s="366">
        <f>+C25*3%</f>
        <v>73500</v>
      </c>
      <c r="D32" s="93" t="s">
        <v>475</v>
      </c>
      <c r="F32" s="67"/>
    </row>
    <row r="33" spans="1:6" ht="34.5" customHeight="1">
      <c r="A33" s="112" t="s">
        <v>388</v>
      </c>
      <c r="B33" s="113" t="s">
        <v>389</v>
      </c>
      <c r="C33" s="114">
        <v>1000000</v>
      </c>
      <c r="D33" s="98" t="s">
        <v>390</v>
      </c>
      <c r="F33" s="67"/>
    </row>
    <row r="34" spans="1:6" ht="15" customHeight="1">
      <c r="A34" s="364" t="s">
        <v>393</v>
      </c>
      <c r="B34" s="365" t="s">
        <v>394</v>
      </c>
      <c r="C34" s="366">
        <v>500000</v>
      </c>
      <c r="D34" s="93" t="s">
        <v>395</v>
      </c>
      <c r="F34" s="67"/>
    </row>
    <row r="35" spans="1:6" ht="33" customHeight="1">
      <c r="A35" s="112" t="s">
        <v>396</v>
      </c>
      <c r="B35" s="113" t="s">
        <v>248</v>
      </c>
      <c r="C35" s="114">
        <v>1500000</v>
      </c>
      <c r="D35" s="98" t="s">
        <v>397</v>
      </c>
      <c r="F35" s="67"/>
    </row>
    <row r="36" spans="1:6" ht="36.75" customHeight="1">
      <c r="A36" s="364" t="s">
        <v>385</v>
      </c>
      <c r="B36" s="365" t="s">
        <v>386</v>
      </c>
      <c r="C36" s="366">
        <v>5400000</v>
      </c>
      <c r="D36" s="93" t="s">
        <v>387</v>
      </c>
      <c r="F36" s="67"/>
    </row>
    <row r="37" spans="1:6" ht="51.75" customHeight="1">
      <c r="A37" s="112" t="s">
        <v>391</v>
      </c>
      <c r="B37" s="113" t="s">
        <v>358</v>
      </c>
      <c r="C37" s="114">
        <v>2000000</v>
      </c>
      <c r="D37" s="98" t="s">
        <v>392</v>
      </c>
      <c r="F37" s="67"/>
    </row>
    <row r="38" spans="1:6" ht="33.75" customHeight="1">
      <c r="A38" s="364" t="s">
        <v>297</v>
      </c>
      <c r="B38" s="365" t="s">
        <v>294</v>
      </c>
      <c r="C38" s="366">
        <v>3000000</v>
      </c>
      <c r="D38" s="93" t="s">
        <v>295</v>
      </c>
      <c r="F38" s="67"/>
    </row>
    <row r="39" spans="1:6" ht="32.25" customHeight="1">
      <c r="A39" s="112" t="s">
        <v>296</v>
      </c>
      <c r="B39" s="113" t="s">
        <v>298</v>
      </c>
      <c r="C39" s="114">
        <v>15000000</v>
      </c>
      <c r="D39" s="98" t="s">
        <v>299</v>
      </c>
      <c r="F39" s="67"/>
    </row>
    <row r="40" spans="1:6" ht="51" customHeight="1">
      <c r="A40" s="364" t="s">
        <v>364</v>
      </c>
      <c r="B40" s="365" t="s">
        <v>365</v>
      </c>
      <c r="C40" s="366">
        <v>8000000</v>
      </c>
      <c r="D40" s="93" t="s">
        <v>382</v>
      </c>
      <c r="F40" s="67"/>
    </row>
    <row r="41" spans="1:6" ht="15" customHeight="1">
      <c r="A41" s="112" t="s">
        <v>415</v>
      </c>
      <c r="B41" s="113" t="s">
        <v>228</v>
      </c>
      <c r="C41" s="114">
        <v>1160000</v>
      </c>
      <c r="D41" s="98" t="s">
        <v>403</v>
      </c>
      <c r="F41" s="67"/>
    </row>
    <row r="42" spans="1:6" ht="15" customHeight="1">
      <c r="A42" s="364" t="s">
        <v>411</v>
      </c>
      <c r="B42" s="365" t="s">
        <v>412</v>
      </c>
      <c r="C42" s="366">
        <v>100300.01</v>
      </c>
      <c r="D42" s="93" t="s">
        <v>403</v>
      </c>
      <c r="F42" s="67"/>
    </row>
    <row r="43" spans="1:6" ht="15" customHeight="1">
      <c r="A43" s="112" t="s">
        <v>402</v>
      </c>
      <c r="B43" s="113" t="s">
        <v>394</v>
      </c>
      <c r="C43" s="114">
        <v>334238.62</v>
      </c>
      <c r="D43" s="98" t="s">
        <v>403</v>
      </c>
      <c r="F43" s="67"/>
    </row>
    <row r="44" spans="1:6" ht="15" customHeight="1">
      <c r="A44" s="364" t="s">
        <v>404</v>
      </c>
      <c r="B44" s="365" t="s">
        <v>405</v>
      </c>
      <c r="C44" s="366">
        <v>509733.29</v>
      </c>
      <c r="D44" s="93" t="s">
        <v>403</v>
      </c>
      <c r="F44" s="67"/>
    </row>
    <row r="45" spans="1:6" ht="15" customHeight="1">
      <c r="A45" s="112" t="s">
        <v>406</v>
      </c>
      <c r="B45" s="113" t="s">
        <v>170</v>
      </c>
      <c r="C45" s="114">
        <v>15510</v>
      </c>
      <c r="D45" s="98" t="s">
        <v>403</v>
      </c>
      <c r="F45" s="67"/>
    </row>
    <row r="46" spans="1:6" ht="15" customHeight="1">
      <c r="A46" s="364" t="s">
        <v>407</v>
      </c>
      <c r="B46" s="365" t="s">
        <v>433</v>
      </c>
      <c r="C46" s="366">
        <f>121307.76+103023.79</f>
        <v>224331.55</v>
      </c>
      <c r="D46" s="93" t="s">
        <v>403</v>
      </c>
      <c r="F46" s="67"/>
    </row>
    <row r="47" spans="1:6" ht="15" customHeight="1">
      <c r="A47" s="112" t="s">
        <v>407</v>
      </c>
      <c r="B47" s="113" t="s">
        <v>417</v>
      </c>
      <c r="C47" s="114">
        <v>15000</v>
      </c>
      <c r="D47" s="98" t="s">
        <v>403</v>
      </c>
      <c r="F47" s="67"/>
    </row>
    <row r="48" spans="1:6" ht="15" customHeight="1">
      <c r="A48" s="364" t="s">
        <v>408</v>
      </c>
      <c r="B48" s="365" t="s">
        <v>248</v>
      </c>
      <c r="C48" s="366">
        <v>392987.75</v>
      </c>
      <c r="D48" s="93" t="s">
        <v>403</v>
      </c>
      <c r="F48" s="67"/>
    </row>
    <row r="49" spans="1:6" ht="15" customHeight="1">
      <c r="A49" s="112" t="s">
        <v>409</v>
      </c>
      <c r="B49" s="113" t="s">
        <v>410</v>
      </c>
      <c r="C49" s="114">
        <v>38722.28</v>
      </c>
      <c r="D49" s="98" t="s">
        <v>403</v>
      </c>
      <c r="F49" s="67"/>
    </row>
    <row r="50" spans="1:6" ht="15" customHeight="1">
      <c r="A50" s="364" t="s">
        <v>413</v>
      </c>
      <c r="B50" s="365" t="s">
        <v>414</v>
      </c>
      <c r="C50" s="366">
        <v>6900.01</v>
      </c>
      <c r="D50" s="93" t="s">
        <v>403</v>
      </c>
      <c r="F50" s="67"/>
    </row>
    <row r="51" spans="1:6" ht="15" customHeight="1">
      <c r="A51" s="112" t="s">
        <v>416</v>
      </c>
      <c r="B51" s="113" t="s">
        <v>191</v>
      </c>
      <c r="C51" s="114">
        <v>5430</v>
      </c>
      <c r="D51" s="98" t="s">
        <v>403</v>
      </c>
      <c r="F51" s="67"/>
    </row>
    <row r="52" spans="1:6" ht="38.25" customHeight="1">
      <c r="A52" s="364" t="s">
        <v>339</v>
      </c>
      <c r="B52" s="365" t="s">
        <v>238</v>
      </c>
      <c r="C52" s="366">
        <v>12000000</v>
      </c>
      <c r="D52" s="93" t="s">
        <v>375</v>
      </c>
      <c r="F52" s="67"/>
    </row>
    <row r="53" spans="1:6" ht="38.25" customHeight="1">
      <c r="A53" s="112" t="s">
        <v>353</v>
      </c>
      <c r="B53" s="113" t="s">
        <v>303</v>
      </c>
      <c r="C53" s="114">
        <v>2000000</v>
      </c>
      <c r="D53" s="98" t="s">
        <v>451</v>
      </c>
      <c r="F53" s="67"/>
    </row>
    <row r="54" spans="1:6" ht="38.25" customHeight="1" thickBot="1">
      <c r="A54" s="364" t="s">
        <v>305</v>
      </c>
      <c r="B54" s="365" t="s">
        <v>304</v>
      </c>
      <c r="C54" s="366">
        <v>159308852.55</v>
      </c>
      <c r="D54" s="93" t="s">
        <v>452</v>
      </c>
      <c r="F54" s="67"/>
    </row>
    <row r="55" spans="1:4" ht="16.5" thickBot="1">
      <c r="A55" s="458" t="s">
        <v>17</v>
      </c>
      <c r="B55" s="459"/>
      <c r="C55" s="115">
        <f>SUM(C7:C54)</f>
        <v>151443182.73999998</v>
      </c>
      <c r="D55" s="116"/>
    </row>
    <row r="58" ht="12.75">
      <c r="B58" s="118"/>
    </row>
  </sheetData>
  <sheetProtection/>
  <mergeCells count="3">
    <mergeCell ref="A1:D1"/>
    <mergeCell ref="A2:D2"/>
    <mergeCell ref="A55:B55"/>
  </mergeCells>
  <printOptions horizontalCentered="1"/>
  <pageMargins left="0.1968503937007874" right="0.1968503937007874" top="0.3937007874015748" bottom="0.3937007874015748" header="0" footer="0"/>
  <pageSetup horizontalDpi="600" verticalDpi="600" orientation="landscape" scale="85" r:id="rId2"/>
  <drawing r:id="rId1"/>
</worksheet>
</file>

<file path=xl/worksheets/sheet6.xml><?xml version="1.0" encoding="utf-8"?>
<worksheet xmlns="http://schemas.openxmlformats.org/spreadsheetml/2006/main" xmlns:r="http://schemas.openxmlformats.org/officeDocument/2006/relationships">
  <dimension ref="A1:E41"/>
  <sheetViews>
    <sheetView showGridLines="0" zoomScale="110" zoomScaleNormal="110" zoomScalePageLayoutView="0" workbookViewId="0" topLeftCell="A13">
      <selection activeCell="C18" sqref="C18"/>
    </sheetView>
  </sheetViews>
  <sheetFormatPr defaultColWidth="11.421875" defaultRowHeight="12.75"/>
  <cols>
    <col min="1" max="1" width="21.7109375" style="137" customWidth="1"/>
    <col min="2" max="2" width="53.8515625" style="119" customWidth="1"/>
    <col min="3" max="3" width="21.140625" style="125" customWidth="1"/>
    <col min="4" max="4" width="59.00390625" style="119" customWidth="1"/>
    <col min="5" max="5" width="19.421875" style="119" bestFit="1" customWidth="1"/>
    <col min="6" max="6" width="14.140625" style="119" bestFit="1" customWidth="1"/>
    <col min="7" max="16384" width="11.421875" style="119" customWidth="1"/>
  </cols>
  <sheetData>
    <row r="1" spans="1:4" ht="21.75" customHeight="1">
      <c r="A1" s="460" t="s">
        <v>25</v>
      </c>
      <c r="B1" s="460"/>
      <c r="C1" s="460"/>
      <c r="D1" s="460"/>
    </row>
    <row r="2" spans="1:4" ht="22.5" customHeight="1">
      <c r="A2" s="460" t="s">
        <v>258</v>
      </c>
      <c r="B2" s="460"/>
      <c r="C2" s="460"/>
      <c r="D2" s="460"/>
    </row>
    <row r="3" spans="1:4" ht="19.5" thickBot="1">
      <c r="A3" s="120"/>
      <c r="B3" s="121"/>
      <c r="C3" s="121"/>
      <c r="D3" s="122"/>
    </row>
    <row r="4" spans="1:5" ht="33" customHeight="1" thickBot="1">
      <c r="A4" s="86" t="s">
        <v>123</v>
      </c>
      <c r="B4" s="123" t="s">
        <v>78</v>
      </c>
      <c r="C4" s="124" t="s">
        <v>13</v>
      </c>
      <c r="D4" s="123" t="s">
        <v>14</v>
      </c>
      <c r="E4" s="125"/>
    </row>
    <row r="5" spans="1:5" ht="19.5" customHeight="1">
      <c r="A5" s="126"/>
      <c r="B5" s="127"/>
      <c r="C5" s="128">
        <f>SUM(C6:C25)</f>
        <v>779320933.3000001</v>
      </c>
      <c r="D5" s="129"/>
      <c r="E5" s="125"/>
    </row>
    <row r="6" spans="1:5" ht="19.5" customHeight="1">
      <c r="A6" s="91" t="s">
        <v>207</v>
      </c>
      <c r="B6" s="370" t="s">
        <v>205</v>
      </c>
      <c r="C6" s="371">
        <v>312235.35</v>
      </c>
      <c r="D6" s="370" t="s">
        <v>476</v>
      </c>
      <c r="E6" s="125"/>
    </row>
    <row r="7" spans="1:5" ht="19.5" customHeight="1">
      <c r="A7" s="96" t="s">
        <v>207</v>
      </c>
      <c r="B7" s="130" t="s">
        <v>334</v>
      </c>
      <c r="C7" s="131">
        <v>728117.5</v>
      </c>
      <c r="D7" s="130" t="s">
        <v>476</v>
      </c>
      <c r="E7" s="125"/>
    </row>
    <row r="8" spans="1:4" s="133" customFormat="1" ht="23.25" customHeight="1">
      <c r="A8" s="91" t="s">
        <v>314</v>
      </c>
      <c r="B8" s="370" t="s">
        <v>206</v>
      </c>
      <c r="C8" s="371">
        <v>2121548.73</v>
      </c>
      <c r="D8" s="370" t="s">
        <v>476</v>
      </c>
    </row>
    <row r="9" spans="1:4" s="133" customFormat="1" ht="23.25" customHeight="1">
      <c r="A9" s="96" t="s">
        <v>314</v>
      </c>
      <c r="B9" s="130" t="s">
        <v>327</v>
      </c>
      <c r="C9" s="131">
        <v>43317200</v>
      </c>
      <c r="D9" s="130" t="s">
        <v>328</v>
      </c>
    </row>
    <row r="10" spans="1:4" s="133" customFormat="1" ht="36.75" customHeight="1">
      <c r="A10" s="91" t="s">
        <v>315</v>
      </c>
      <c r="B10" s="370" t="s">
        <v>316</v>
      </c>
      <c r="C10" s="371">
        <v>100000000</v>
      </c>
      <c r="D10" s="370" t="s">
        <v>453</v>
      </c>
    </row>
    <row r="11" spans="1:4" s="133" customFormat="1" ht="35.25" customHeight="1">
      <c r="A11" s="96" t="s">
        <v>438</v>
      </c>
      <c r="B11" s="130" t="s">
        <v>437</v>
      </c>
      <c r="C11" s="131">
        <v>25000000</v>
      </c>
      <c r="D11" s="130" t="s">
        <v>454</v>
      </c>
    </row>
    <row r="12" spans="1:4" s="133" customFormat="1" ht="31.5" customHeight="1">
      <c r="A12" s="91" t="s">
        <v>369</v>
      </c>
      <c r="B12" s="370" t="s">
        <v>368</v>
      </c>
      <c r="C12" s="371">
        <v>11000000</v>
      </c>
      <c r="D12" s="370"/>
    </row>
    <row r="13" spans="1:4" s="133" customFormat="1" ht="36" customHeight="1">
      <c r="A13" s="96" t="s">
        <v>302</v>
      </c>
      <c r="B13" s="130" t="s">
        <v>355</v>
      </c>
      <c r="C13" s="131">
        <v>50000000</v>
      </c>
      <c r="D13" s="130" t="s">
        <v>356</v>
      </c>
    </row>
    <row r="14" spans="1:5" s="133" customFormat="1" ht="42.75" customHeight="1">
      <c r="A14" s="91" t="s">
        <v>302</v>
      </c>
      <c r="B14" s="370" t="s">
        <v>366</v>
      </c>
      <c r="C14" s="371">
        <v>30000000</v>
      </c>
      <c r="D14" s="370" t="s">
        <v>381</v>
      </c>
      <c r="E14" s="372"/>
    </row>
    <row r="15" spans="1:4" s="133" customFormat="1" ht="36" customHeight="1">
      <c r="A15" s="96" t="s">
        <v>302</v>
      </c>
      <c r="B15" s="130" t="s">
        <v>371</v>
      </c>
      <c r="C15" s="131">
        <v>20000000</v>
      </c>
      <c r="D15" s="130"/>
    </row>
    <row r="16" spans="1:4" s="133" customFormat="1" ht="32.25" customHeight="1">
      <c r="A16" s="91" t="s">
        <v>302</v>
      </c>
      <c r="B16" s="370" t="s">
        <v>373</v>
      </c>
      <c r="C16" s="371">
        <v>100000000</v>
      </c>
      <c r="D16" s="370"/>
    </row>
    <row r="17" spans="1:4" s="133" customFormat="1" ht="36" customHeight="1">
      <c r="A17" s="96" t="s">
        <v>302</v>
      </c>
      <c r="B17" s="130" t="s">
        <v>374</v>
      </c>
      <c r="C17" s="131">
        <v>50000000</v>
      </c>
      <c r="D17" s="130"/>
    </row>
    <row r="18" spans="1:4" s="133" customFormat="1" ht="36" customHeight="1">
      <c r="A18" s="91" t="s">
        <v>302</v>
      </c>
      <c r="B18" s="370" t="s">
        <v>378</v>
      </c>
      <c r="C18" s="371">
        <v>40000000</v>
      </c>
      <c r="D18" s="370"/>
    </row>
    <row r="19" spans="1:4" s="133" customFormat="1" ht="33" customHeight="1">
      <c r="A19" s="96" t="s">
        <v>277</v>
      </c>
      <c r="B19" s="130" t="s">
        <v>278</v>
      </c>
      <c r="C19" s="131">
        <v>58847097.39</v>
      </c>
      <c r="D19" s="130" t="s">
        <v>279</v>
      </c>
    </row>
    <row r="20" spans="1:4" s="133" customFormat="1" ht="42" customHeight="1">
      <c r="A20" s="91" t="s">
        <v>367</v>
      </c>
      <c r="B20" s="370" t="s">
        <v>379</v>
      </c>
      <c r="C20" s="371">
        <v>15000000</v>
      </c>
      <c r="D20" s="370" t="s">
        <v>301</v>
      </c>
    </row>
    <row r="21" spans="1:4" s="133" customFormat="1" ht="59.25" customHeight="1">
      <c r="A21" s="96" t="s">
        <v>300</v>
      </c>
      <c r="B21" s="130" t="s">
        <v>370</v>
      </c>
      <c r="C21" s="131">
        <v>15000000</v>
      </c>
      <c r="D21" s="130" t="s">
        <v>313</v>
      </c>
    </row>
    <row r="22" spans="1:4" s="133" customFormat="1" ht="60" customHeight="1">
      <c r="A22" s="91" t="s">
        <v>300</v>
      </c>
      <c r="B22" s="370" t="s">
        <v>401</v>
      </c>
      <c r="C22" s="371">
        <v>11701842.1</v>
      </c>
      <c r="D22" s="370" t="s">
        <v>400</v>
      </c>
    </row>
    <row r="23" spans="1:4" s="133" customFormat="1" ht="60.75" customHeight="1">
      <c r="A23" s="96" t="s">
        <v>300</v>
      </c>
      <c r="B23" s="130" t="s">
        <v>439</v>
      </c>
      <c r="C23" s="131">
        <v>100000000</v>
      </c>
      <c r="D23" s="130" t="s">
        <v>446</v>
      </c>
    </row>
    <row r="24" spans="1:4" s="133" customFormat="1" ht="42" customHeight="1">
      <c r="A24" s="91" t="s">
        <v>357</v>
      </c>
      <c r="B24" s="370" t="s">
        <v>358</v>
      </c>
      <c r="C24" s="371">
        <f>6250000+42892.23</f>
        <v>6292892.23</v>
      </c>
      <c r="D24" s="370" t="s">
        <v>359</v>
      </c>
    </row>
    <row r="25" spans="1:5" s="132" customFormat="1" ht="27.75" customHeight="1">
      <c r="A25" s="96" t="s">
        <v>508</v>
      </c>
      <c r="B25" s="130" t="s">
        <v>440</v>
      </c>
      <c r="C25" s="131">
        <v>100000000</v>
      </c>
      <c r="D25" s="130"/>
      <c r="E25" s="134"/>
    </row>
    <row r="26" spans="1:4" ht="20.25" customHeight="1" thickBot="1">
      <c r="A26" s="461" t="s">
        <v>17</v>
      </c>
      <c r="B26" s="462"/>
      <c r="C26" s="135">
        <f>SUM(C6:C25)</f>
        <v>779320933.3000001</v>
      </c>
      <c r="D26" s="136"/>
    </row>
    <row r="27" ht="14.25">
      <c r="D27" s="125"/>
    </row>
    <row r="28" ht="14.25">
      <c r="D28" s="125"/>
    </row>
    <row r="29" ht="14.25">
      <c r="D29" s="125"/>
    </row>
    <row r="30" ht="14.25">
      <c r="D30" s="125"/>
    </row>
    <row r="31" ht="14.25">
      <c r="D31" s="125"/>
    </row>
    <row r="32" ht="14.25">
      <c r="D32" s="125"/>
    </row>
    <row r="33" ht="14.25">
      <c r="D33" s="125"/>
    </row>
    <row r="34" ht="14.25">
      <c r="D34" s="125"/>
    </row>
    <row r="35" ht="14.25">
      <c r="D35" s="125"/>
    </row>
    <row r="36" ht="14.25">
      <c r="D36" s="125"/>
    </row>
    <row r="37" ht="14.25">
      <c r="D37" s="125"/>
    </row>
    <row r="38" ht="14.25">
      <c r="D38" s="125"/>
    </row>
    <row r="39" ht="14.25">
      <c r="D39" s="125"/>
    </row>
    <row r="40" ht="14.25">
      <c r="D40" s="125"/>
    </row>
    <row r="41" ht="14.25">
      <c r="D41" s="125"/>
    </row>
    <row r="47" ht="15" customHeight="1"/>
  </sheetData>
  <sheetProtection/>
  <mergeCells count="3">
    <mergeCell ref="A1:D1"/>
    <mergeCell ref="A2:D2"/>
    <mergeCell ref="A26:B26"/>
  </mergeCells>
  <printOptions horizontalCentered="1"/>
  <pageMargins left="0.1968503937007874" right="0.1968503937007874" top="0.3937007874015748" bottom="0.3937007874015748" header="0" footer="0"/>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dimension ref="A1:F19"/>
  <sheetViews>
    <sheetView showGridLines="0" zoomScale="110" zoomScaleNormal="110" zoomScalePageLayoutView="0" workbookViewId="0" topLeftCell="A7">
      <selection activeCell="C9" sqref="C9"/>
    </sheetView>
  </sheetViews>
  <sheetFormatPr defaultColWidth="11.421875" defaultRowHeight="12.75"/>
  <cols>
    <col min="1" max="1" width="20.421875" style="148" customWidth="1"/>
    <col min="2" max="2" width="60.57421875" style="149" customWidth="1"/>
    <col min="3" max="3" width="21.28125" style="156" customWidth="1"/>
    <col min="4" max="4" width="52.8515625" style="148" customWidth="1"/>
    <col min="5" max="5" width="11.421875" style="139" customWidth="1"/>
    <col min="6" max="6" width="13.7109375" style="139" bestFit="1" customWidth="1"/>
    <col min="7" max="7" width="12.7109375" style="139" bestFit="1" customWidth="1"/>
    <col min="8" max="16384" width="11.421875" style="139" customWidth="1"/>
  </cols>
  <sheetData>
    <row r="1" spans="1:4" ht="23.25" customHeight="1">
      <c r="A1" s="463" t="s">
        <v>143</v>
      </c>
      <c r="B1" s="463"/>
      <c r="C1" s="463"/>
      <c r="D1" s="463"/>
    </row>
    <row r="2" spans="1:4" ht="16.5" customHeight="1">
      <c r="A2" s="463" t="s">
        <v>258</v>
      </c>
      <c r="B2" s="463"/>
      <c r="C2" s="463"/>
      <c r="D2" s="463"/>
    </row>
    <row r="3" spans="1:4" ht="12.75" customHeight="1" thickBot="1">
      <c r="A3" s="138"/>
      <c r="B3" s="138"/>
      <c r="C3" s="150"/>
      <c r="D3" s="138"/>
    </row>
    <row r="4" spans="1:4" ht="35.25" customHeight="1" thickBot="1">
      <c r="A4" s="140" t="s">
        <v>123</v>
      </c>
      <c r="B4" s="140" t="s">
        <v>78</v>
      </c>
      <c r="C4" s="140" t="s">
        <v>13</v>
      </c>
      <c r="D4" s="140" t="s">
        <v>14</v>
      </c>
    </row>
    <row r="5" spans="1:6" ht="12.75">
      <c r="A5" s="141"/>
      <c r="B5" s="142"/>
      <c r="C5" s="151">
        <f>SUM(C6:C13)</f>
        <v>32258639.130000003</v>
      </c>
      <c r="D5" s="143"/>
      <c r="F5" s="144"/>
    </row>
    <row r="6" spans="1:4" ht="25.5">
      <c r="A6" s="354" t="s">
        <v>251</v>
      </c>
      <c r="B6" s="352" t="s">
        <v>267</v>
      </c>
      <c r="C6" s="152">
        <v>2461.9</v>
      </c>
      <c r="D6" s="351" t="s">
        <v>273</v>
      </c>
    </row>
    <row r="7" spans="1:4" ht="67.5" customHeight="1">
      <c r="A7" s="145" t="s">
        <v>251</v>
      </c>
      <c r="B7" s="353" t="s">
        <v>269</v>
      </c>
      <c r="C7" s="153">
        <v>53044</v>
      </c>
      <c r="D7" s="146" t="s">
        <v>275</v>
      </c>
    </row>
    <row r="8" spans="1:4" ht="81" customHeight="1">
      <c r="A8" s="377" t="s">
        <v>211</v>
      </c>
      <c r="B8" s="297" t="s">
        <v>270</v>
      </c>
      <c r="C8" s="298">
        <f>2990848-1999014.49</f>
        <v>991833.51</v>
      </c>
      <c r="D8" s="344" t="s">
        <v>543</v>
      </c>
    </row>
    <row r="9" spans="1:4" ht="63.75" customHeight="1">
      <c r="A9" s="145" t="s">
        <v>182</v>
      </c>
      <c r="B9" s="353" t="s">
        <v>271</v>
      </c>
      <c r="C9" s="153">
        <v>106174</v>
      </c>
      <c r="D9" s="146" t="s">
        <v>224</v>
      </c>
    </row>
    <row r="10" spans="1:4" ht="26.25" customHeight="1">
      <c r="A10" s="354" t="s">
        <v>183</v>
      </c>
      <c r="B10" s="352" t="s">
        <v>265</v>
      </c>
      <c r="C10" s="152">
        <v>14594.05</v>
      </c>
      <c r="D10" s="351" t="s">
        <v>168</v>
      </c>
    </row>
    <row r="11" spans="1:4" ht="22.5" customHeight="1">
      <c r="A11" s="145" t="s">
        <v>183</v>
      </c>
      <c r="B11" s="353" t="s">
        <v>266</v>
      </c>
      <c r="C11" s="153">
        <v>30004654.290000003</v>
      </c>
      <c r="D11" s="146" t="s">
        <v>168</v>
      </c>
    </row>
    <row r="12" spans="1:4" ht="65.25" customHeight="1">
      <c r="A12" s="354" t="s">
        <v>183</v>
      </c>
      <c r="B12" s="352" t="s">
        <v>268</v>
      </c>
      <c r="C12" s="152">
        <v>115750</v>
      </c>
      <c r="D12" s="351" t="s">
        <v>274</v>
      </c>
    </row>
    <row r="13" spans="1:4" ht="21" customHeight="1">
      <c r="A13" s="145" t="s">
        <v>276</v>
      </c>
      <c r="B13" s="353" t="s">
        <v>145</v>
      </c>
      <c r="C13" s="153">
        <v>970127.38</v>
      </c>
      <c r="D13" s="146" t="s">
        <v>272</v>
      </c>
    </row>
    <row r="14" spans="1:4" ht="18.75" customHeight="1">
      <c r="A14" s="464" t="s">
        <v>17</v>
      </c>
      <c r="B14" s="464"/>
      <c r="C14" s="154">
        <f>SUM(C6:C13)</f>
        <v>32258639.130000003</v>
      </c>
      <c r="D14" s="147"/>
    </row>
    <row r="18" ht="12.75">
      <c r="C18" s="156">
        <v>32258639.13</v>
      </c>
    </row>
    <row r="19" ht="12.75">
      <c r="C19" s="234">
        <f>+C14-C18</f>
        <v>0</v>
      </c>
    </row>
  </sheetData>
  <sheetProtection/>
  <mergeCells count="3">
    <mergeCell ref="A1:D1"/>
    <mergeCell ref="A2:D2"/>
    <mergeCell ref="A14:B14"/>
  </mergeCells>
  <printOptions horizontalCentered="1"/>
  <pageMargins left="0.3937007874015748" right="0.3937007874015748" top="0.3937007874015748" bottom="0.3937007874015748" header="0" footer="0"/>
  <pageSetup horizontalDpi="600" verticalDpi="600" orientation="landscape" scale="80" r:id="rId2"/>
  <drawing r:id="rId1"/>
</worksheet>
</file>

<file path=xl/worksheets/sheet8.xml><?xml version="1.0" encoding="utf-8"?>
<worksheet xmlns="http://schemas.openxmlformats.org/spreadsheetml/2006/main" xmlns:r="http://schemas.openxmlformats.org/officeDocument/2006/relationships">
  <sheetPr>
    <tabColor indexed="57"/>
  </sheetPr>
  <dimension ref="A1:M75"/>
  <sheetViews>
    <sheetView showGridLines="0" zoomScalePageLayoutView="0" workbookViewId="0" topLeftCell="C1">
      <selection activeCell="M8" sqref="M8"/>
    </sheetView>
  </sheetViews>
  <sheetFormatPr defaultColWidth="11.421875" defaultRowHeight="12.75"/>
  <cols>
    <col min="1" max="1" width="13.57421875" style="194" customWidth="1"/>
    <col min="2" max="2" width="31.28125" style="195" customWidth="1"/>
    <col min="3" max="3" width="19.8515625" style="68" customWidth="1"/>
    <col min="4" max="4" width="7.57421875" style="68" customWidth="1"/>
    <col min="5" max="5" width="18.28125" style="68" customWidth="1"/>
    <col min="6" max="6" width="8.00390625" style="68" customWidth="1"/>
    <col min="7" max="7" width="20.28125" style="68" customWidth="1"/>
    <col min="8" max="8" width="7.28125" style="68" customWidth="1"/>
    <col min="9" max="9" width="19.00390625" style="68" customWidth="1"/>
    <col min="10" max="10" width="7.8515625" style="196" customWidth="1"/>
    <col min="11" max="11" width="20.8515625" style="197" customWidth="1"/>
    <col min="12" max="12" width="12.57421875" style="196" customWidth="1"/>
    <col min="13" max="13" width="32.8515625" style="66" customWidth="1"/>
    <col min="14" max="14" width="16.57421875" style="66" bestFit="1" customWidth="1"/>
    <col min="15" max="16384" width="11.421875" style="66" customWidth="1"/>
  </cols>
  <sheetData>
    <row r="1" spans="1:12" ht="12.75">
      <c r="A1" s="465" t="s">
        <v>18</v>
      </c>
      <c r="B1" s="465"/>
      <c r="C1" s="465"/>
      <c r="D1" s="465"/>
      <c r="E1" s="465"/>
      <c r="F1" s="465"/>
      <c r="G1" s="465"/>
      <c r="H1" s="465"/>
      <c r="I1" s="465"/>
      <c r="J1" s="465"/>
      <c r="K1" s="465"/>
      <c r="L1" s="465"/>
    </row>
    <row r="2" spans="1:12" ht="12.75">
      <c r="A2" s="466" t="s">
        <v>258</v>
      </c>
      <c r="B2" s="466"/>
      <c r="C2" s="466"/>
      <c r="D2" s="466"/>
      <c r="E2" s="466"/>
      <c r="F2" s="466"/>
      <c r="G2" s="466"/>
      <c r="H2" s="466"/>
      <c r="I2" s="466"/>
      <c r="J2" s="466"/>
      <c r="K2" s="466"/>
      <c r="L2" s="466"/>
    </row>
    <row r="3" spans="1:12" ht="12.75">
      <c r="A3" s="467" t="s">
        <v>79</v>
      </c>
      <c r="B3" s="467"/>
      <c r="C3" s="467"/>
      <c r="D3" s="467"/>
      <c r="E3" s="467"/>
      <c r="F3" s="467"/>
      <c r="G3" s="467"/>
      <c r="H3" s="467"/>
      <c r="I3" s="467"/>
      <c r="J3" s="467"/>
      <c r="K3" s="467"/>
      <c r="L3" s="467"/>
    </row>
    <row r="4" spans="1:12" ht="12.75">
      <c r="A4" s="159"/>
      <c r="B4" s="159"/>
      <c r="C4" s="159"/>
      <c r="D4" s="159"/>
      <c r="E4" s="159"/>
      <c r="F4" s="159"/>
      <c r="G4" s="159"/>
      <c r="H4" s="159"/>
      <c r="I4" s="159"/>
      <c r="J4" s="159"/>
      <c r="K4" s="308"/>
      <c r="L4" s="159"/>
    </row>
    <row r="5" spans="1:13" ht="13.5" thickBot="1">
      <c r="A5" s="159"/>
      <c r="B5" s="159"/>
      <c r="C5" s="159"/>
      <c r="D5" s="159"/>
      <c r="E5" s="159"/>
      <c r="F5" s="159"/>
      <c r="G5" s="159"/>
      <c r="H5" s="159"/>
      <c r="I5" s="159"/>
      <c r="J5" s="159"/>
      <c r="K5" s="308"/>
      <c r="L5" s="308"/>
      <c r="M5" s="68"/>
    </row>
    <row r="6" spans="1:13" ht="49.5" customHeight="1" thickBot="1">
      <c r="A6" s="160" t="s">
        <v>19</v>
      </c>
      <c r="B6" s="161" t="s">
        <v>20</v>
      </c>
      <c r="C6" s="162" t="s">
        <v>48</v>
      </c>
      <c r="D6" s="162"/>
      <c r="E6" s="162" t="s">
        <v>67</v>
      </c>
      <c r="F6" s="162" t="s">
        <v>35</v>
      </c>
      <c r="G6" s="162" t="s">
        <v>68</v>
      </c>
      <c r="H6" s="163" t="s">
        <v>35</v>
      </c>
      <c r="I6" s="164" t="s">
        <v>121</v>
      </c>
      <c r="J6" s="163" t="s">
        <v>35</v>
      </c>
      <c r="K6" s="162" t="s">
        <v>69</v>
      </c>
      <c r="L6" s="165" t="s">
        <v>35</v>
      </c>
      <c r="M6" s="68"/>
    </row>
    <row r="7" spans="1:13" ht="12.75">
      <c r="A7" s="166"/>
      <c r="B7" s="167" t="s">
        <v>36</v>
      </c>
      <c r="C7" s="168">
        <f aca="true" t="shared" si="0" ref="C7:J7">C8+C18+C30+C42+C44+C57+C64+C68+C70</f>
        <v>87813787.37</v>
      </c>
      <c r="D7" s="169">
        <f t="shared" si="0"/>
        <v>1</v>
      </c>
      <c r="E7" s="168">
        <f t="shared" si="0"/>
        <v>151765757.09</v>
      </c>
      <c r="F7" s="169">
        <f t="shared" si="0"/>
        <v>-0.1155932391889734</v>
      </c>
      <c r="G7" s="168">
        <f t="shared" si="0"/>
        <v>779320933.3</v>
      </c>
      <c r="H7" s="169">
        <f t="shared" si="0"/>
        <v>1</v>
      </c>
      <c r="I7" s="168">
        <f t="shared" si="0"/>
        <v>32258639.130000006</v>
      </c>
      <c r="J7" s="169">
        <f t="shared" si="0"/>
        <v>1</v>
      </c>
      <c r="K7" s="168">
        <f>C7+E7+G7+I7</f>
        <v>1051159116.89</v>
      </c>
      <c r="L7" s="170">
        <v>1</v>
      </c>
      <c r="M7" s="68">
        <f>+Ingresos!C15-'Gral y X Prog.'!K7</f>
        <v>0</v>
      </c>
    </row>
    <row r="8" spans="1:13" s="174" customFormat="1" ht="16.5" customHeight="1">
      <c r="A8" s="198">
        <v>0</v>
      </c>
      <c r="B8" s="199" t="s">
        <v>108</v>
      </c>
      <c r="C8" s="171">
        <f>SUM(C10:C12)</f>
        <v>0</v>
      </c>
      <c r="D8" s="172">
        <f aca="true" t="shared" si="1" ref="D8:D51">+C8/$C$7</f>
        <v>0</v>
      </c>
      <c r="E8" s="171">
        <f>SUM(E9:E17)</f>
        <v>3872654.0300000003</v>
      </c>
      <c r="F8" s="172">
        <f aca="true" t="shared" si="2" ref="F8:F34">+E8/$E$7</f>
        <v>0.025517311047336205</v>
      </c>
      <c r="G8" s="171">
        <f>SUM(G10:G12)</f>
        <v>0</v>
      </c>
      <c r="H8" s="172">
        <f aca="true" t="shared" si="3" ref="H8:H51">+G8/$G$7</f>
        <v>0</v>
      </c>
      <c r="I8" s="171">
        <f>SUM(I10:I12)</f>
        <v>0</v>
      </c>
      <c r="J8" s="172">
        <f aca="true" t="shared" si="4" ref="J8:J51">+I8/$I$7</f>
        <v>0</v>
      </c>
      <c r="K8" s="171">
        <f>+C8++E8++G8+I8</f>
        <v>3872654.0300000003</v>
      </c>
      <c r="L8" s="173">
        <f>+D8++F8+H8+J8</f>
        <v>0.025517311047336205</v>
      </c>
      <c r="M8" s="317"/>
    </row>
    <row r="9" spans="1:13" ht="19.5" customHeight="1">
      <c r="A9" s="175" t="s">
        <v>218</v>
      </c>
      <c r="B9" s="309" t="s">
        <v>219</v>
      </c>
      <c r="C9" s="177">
        <f>SUMIF('Prog-I Detalle'!$A$12:$A$13,A9,'Prog-I Detalle'!$C$12:$C$13)</f>
        <v>0</v>
      </c>
      <c r="D9" s="178">
        <f t="shared" si="1"/>
        <v>0</v>
      </c>
      <c r="E9" s="177">
        <f>SUMIF('Prog-II Detalle'!$A$6:$A$54,A9,'Prog-II Detalle'!$C$6:$C$54)</f>
        <v>2450000</v>
      </c>
      <c r="F9" s="178">
        <f t="shared" si="2"/>
        <v>0.016143299035151278</v>
      </c>
      <c r="G9" s="177">
        <f>SUMIF('Prog-III Detalle'!$A$6:$A$25,A9,'Prog-III Detalle'!$C$6:$C$25)</f>
        <v>0</v>
      </c>
      <c r="H9" s="178">
        <f t="shared" si="3"/>
        <v>0</v>
      </c>
      <c r="I9" s="179">
        <f>SUMIF('Prog-IV Detalle'!$A$6:$A$7,A9,'Prog-IV Detalle'!$C$6:$C$7)</f>
        <v>0</v>
      </c>
      <c r="J9" s="178">
        <f t="shared" si="4"/>
        <v>0</v>
      </c>
      <c r="K9" s="177">
        <f aca="true" t="shared" si="5" ref="K9:K17">+C9++E9+G9+I9</f>
        <v>2450000</v>
      </c>
      <c r="L9" s="180">
        <f aca="true" t="shared" si="6" ref="L9:L52">+K9/$K$7</f>
        <v>0.0023307603583829105</v>
      </c>
      <c r="M9" s="68"/>
    </row>
    <row r="10" spans="1:13" ht="19.5" customHeight="1">
      <c r="A10" s="175" t="s">
        <v>351</v>
      </c>
      <c r="B10" s="309" t="s">
        <v>344</v>
      </c>
      <c r="C10" s="177">
        <f>SUMIF('Prog-I Detalle'!$A$12:$A$13,A10,'Prog-I Detalle'!$C$12:$C$13)</f>
        <v>0</v>
      </c>
      <c r="D10" s="178">
        <f t="shared" si="1"/>
        <v>0</v>
      </c>
      <c r="E10" s="177">
        <f>SUMIF('Prog-II Detalle'!$A$6:$A$54,A10,'Prog-II Detalle'!$C$6:$C$54)</f>
        <v>322574.35</v>
      </c>
      <c r="F10" s="178">
        <f t="shared" si="2"/>
        <v>0.0021254751808651223</v>
      </c>
      <c r="G10" s="177">
        <f>SUMIF('Prog-III Detalle'!$A$6:$A$25,A10,'Prog-III Detalle'!$C$6:$C$25)</f>
        <v>0</v>
      </c>
      <c r="H10" s="178">
        <f t="shared" si="3"/>
        <v>0</v>
      </c>
      <c r="I10" s="179">
        <f>SUMIF('Prog-IV Detalle'!$A$6:$A$7,A10,'Prog-IV Detalle'!$C$6:$C$7)</f>
        <v>0</v>
      </c>
      <c r="J10" s="178">
        <f t="shared" si="4"/>
        <v>0</v>
      </c>
      <c r="K10" s="177">
        <f t="shared" si="5"/>
        <v>322574.35</v>
      </c>
      <c r="L10" s="180">
        <f t="shared" si="6"/>
        <v>0.0003068749010657691</v>
      </c>
      <c r="M10" s="68"/>
    </row>
    <row r="11" spans="1:13" ht="19.5" customHeight="1">
      <c r="A11" s="175" t="s">
        <v>483</v>
      </c>
      <c r="B11" s="309" t="s">
        <v>484</v>
      </c>
      <c r="C11" s="177">
        <f>SUMIF('Prog-I Detalle'!$A$12:$A$13,A11,'Prog-I Detalle'!$C$12:$C$13)</f>
        <v>0</v>
      </c>
      <c r="D11" s="178">
        <f>+C11/$C$7</f>
        <v>0</v>
      </c>
      <c r="E11" s="177">
        <f>SUMIF('Prog-II Detalle'!$A$6:$A$54,A11,'Prog-II Detalle'!$C$6:$C$54)</f>
        <v>185494.68</v>
      </c>
      <c r="F11" s="178">
        <f t="shared" si="2"/>
        <v>0.0012222433014978345</v>
      </c>
      <c r="G11" s="177">
        <f>SUMIF('Prog-III Detalle'!$A$6:$A$25,A11,'Prog-III Detalle'!$C$6:$C$25)</f>
        <v>0</v>
      </c>
      <c r="H11" s="178">
        <f>+G11/$G$7</f>
        <v>0</v>
      </c>
      <c r="I11" s="179">
        <f>SUMIF('Prog-IV Detalle'!$A$6:$A$7,A11,'Prog-IV Detalle'!$C$6:$C$7)</f>
        <v>0</v>
      </c>
      <c r="J11" s="178">
        <f>+I11/$I$7</f>
        <v>0</v>
      </c>
      <c r="K11" s="177">
        <f t="shared" si="5"/>
        <v>185494.68</v>
      </c>
      <c r="L11" s="180">
        <f>+K11/$K$7</f>
        <v>0.0001764667946264993</v>
      </c>
      <c r="M11" s="68"/>
    </row>
    <row r="12" spans="1:12" ht="19.5" customHeight="1">
      <c r="A12" s="175" t="s">
        <v>184</v>
      </c>
      <c r="B12" s="309" t="s">
        <v>173</v>
      </c>
      <c r="C12" s="177">
        <f>SUMIF('Prog-I Detalle'!$A$12:$A$13,A12,'Prog-I Detalle'!$C$12:$C$13)</f>
        <v>0</v>
      </c>
      <c r="D12" s="178">
        <f t="shared" si="1"/>
        <v>0</v>
      </c>
      <c r="E12" s="177">
        <f>SUMIF('Prog-II Detalle'!$A$6:$A$54,A12,'Prog-II Detalle'!$C$6:$C$54)</f>
        <v>441000</v>
      </c>
      <c r="F12" s="178">
        <f t="shared" si="2"/>
        <v>0.0029057938263272296</v>
      </c>
      <c r="G12" s="177">
        <f>SUMIF('Prog-III Detalle'!$A$6:$A$25,A12,'Prog-III Detalle'!$C$6:$C$25)</f>
        <v>0</v>
      </c>
      <c r="H12" s="178">
        <f t="shared" si="3"/>
        <v>0</v>
      </c>
      <c r="I12" s="179">
        <f>SUMIF('Prog-IV Detalle'!$A$6:$A$7,A12,'Prog-IV Detalle'!$C$6:$C$7)</f>
        <v>0</v>
      </c>
      <c r="J12" s="178">
        <f t="shared" si="4"/>
        <v>0</v>
      </c>
      <c r="K12" s="177">
        <f t="shared" si="5"/>
        <v>441000</v>
      </c>
      <c r="L12" s="180">
        <f t="shared" si="6"/>
        <v>0.0004195368645089239</v>
      </c>
    </row>
    <row r="13" spans="1:12" ht="25.5" customHeight="1">
      <c r="A13" s="175" t="s">
        <v>485</v>
      </c>
      <c r="B13" s="309" t="s">
        <v>486</v>
      </c>
      <c r="C13" s="177">
        <f>SUMIF('Prog-I Detalle'!$A$12:$A$13,A13,'Prog-I Detalle'!$C$12:$C$13)</f>
        <v>0</v>
      </c>
      <c r="D13" s="178">
        <f>+C13/$C$7</f>
        <v>0</v>
      </c>
      <c r="E13" s="177">
        <f>SUMIF('Prog-II Detalle'!$A$6:$A$54,A13,'Prog-II Detalle'!$C$6:$C$54)</f>
        <v>226625</v>
      </c>
      <c r="F13" s="178">
        <f t="shared" si="2"/>
        <v>0.001493255160751493</v>
      </c>
      <c r="G13" s="177">
        <f>SUMIF('Prog-III Detalle'!$A$6:$A$25,A13,'Prog-III Detalle'!$C$6:$C$25)</f>
        <v>0</v>
      </c>
      <c r="H13" s="178">
        <f>+G13/$G$7</f>
        <v>0</v>
      </c>
      <c r="I13" s="179">
        <f>SUMIF('Prog-IV Detalle'!$A$6:$A$7,A13,'Prog-IV Detalle'!$C$6:$C$7)</f>
        <v>0</v>
      </c>
      <c r="J13" s="178">
        <f>+I13/$I$7</f>
        <v>0</v>
      </c>
      <c r="K13" s="177">
        <f t="shared" si="5"/>
        <v>226625</v>
      </c>
      <c r="L13" s="180">
        <f>+K13/$K$7</f>
        <v>0.0002155953331504192</v>
      </c>
    </row>
    <row r="14" spans="1:12" ht="19.5" customHeight="1">
      <c r="A14" s="175" t="s">
        <v>487</v>
      </c>
      <c r="B14" s="309" t="s">
        <v>488</v>
      </c>
      <c r="C14" s="177">
        <f>SUMIF('Prog-I Detalle'!$A$12:$A$13,A14,'Prog-I Detalle'!$C$12:$C$13)</f>
        <v>0</v>
      </c>
      <c r="D14" s="178">
        <f>+C14/$C$7</f>
        <v>0</v>
      </c>
      <c r="E14" s="177">
        <f>SUMIF('Prog-II Detalle'!$A$6:$A$54,A14,'Prog-II Detalle'!$C$6:$C$54)</f>
        <v>12250</v>
      </c>
      <c r="F14" s="178">
        <f t="shared" si="2"/>
        <v>8.071649517575639E-05</v>
      </c>
      <c r="G14" s="177">
        <f>SUMIF('Prog-III Detalle'!$A$6:$A$25,A14,'Prog-III Detalle'!$C$6:$C$25)</f>
        <v>0</v>
      </c>
      <c r="H14" s="178">
        <f>+G14/$G$7</f>
        <v>0</v>
      </c>
      <c r="I14" s="179">
        <f>SUMIF('Prog-IV Detalle'!$A$6:$A$7,A14,'Prog-IV Detalle'!$C$6:$C$7)</f>
        <v>0</v>
      </c>
      <c r="J14" s="178">
        <f>+I14/$I$7</f>
        <v>0</v>
      </c>
      <c r="K14" s="177">
        <f t="shared" si="5"/>
        <v>12250</v>
      </c>
      <c r="L14" s="180">
        <f>+K14/$K$7</f>
        <v>1.1653801791914553E-05</v>
      </c>
    </row>
    <row r="15" spans="1:12" ht="19.5" customHeight="1">
      <c r="A15" s="175" t="s">
        <v>489</v>
      </c>
      <c r="B15" s="309" t="s">
        <v>490</v>
      </c>
      <c r="C15" s="177">
        <f>SUMIF('Prog-I Detalle'!$A$12:$A$13,A15,'Prog-I Detalle'!$C$12:$C$13)</f>
        <v>0</v>
      </c>
      <c r="D15" s="178">
        <f>+C15/$C$7</f>
        <v>0</v>
      </c>
      <c r="E15" s="177">
        <f>SUMIF('Prog-II Detalle'!$A$6:$A$54,A15,'Prog-II Detalle'!$C$6:$C$54)</f>
        <v>124460</v>
      </c>
      <c r="F15" s="178">
        <f t="shared" si="2"/>
        <v>0.0008200795909856848</v>
      </c>
      <c r="G15" s="177">
        <f>SUMIF('Prog-III Detalle'!$A$6:$A$25,A15,'Prog-III Detalle'!$C$6:$C$25)</f>
        <v>0</v>
      </c>
      <c r="H15" s="178">
        <f>+G15/$G$7</f>
        <v>0</v>
      </c>
      <c r="I15" s="179">
        <f>SUMIF('Prog-IV Detalle'!$A$6:$A$7,A15,'Prog-IV Detalle'!$C$6:$C$7)</f>
        <v>0</v>
      </c>
      <c r="J15" s="178">
        <f>+I15/$I$7</f>
        <v>0</v>
      </c>
      <c r="K15" s="177">
        <f t="shared" si="5"/>
        <v>124460</v>
      </c>
      <c r="L15" s="180">
        <f>+K15/$K$7</f>
        <v>0.00011840262620585184</v>
      </c>
    </row>
    <row r="16" spans="1:12" ht="29.25" customHeight="1">
      <c r="A16" s="175" t="s">
        <v>491</v>
      </c>
      <c r="B16" s="309" t="s">
        <v>492</v>
      </c>
      <c r="C16" s="177">
        <f>SUMIF('Prog-I Detalle'!$A$12:$A$13,A16,'Prog-I Detalle'!$C$12:$C$13)</f>
        <v>0</v>
      </c>
      <c r="D16" s="178">
        <f>+C16/$C$7</f>
        <v>0</v>
      </c>
      <c r="E16" s="177">
        <f>SUMIF('Prog-II Detalle'!$A$6:$A$54,A16,'Prog-II Detalle'!$C$6:$C$54)</f>
        <v>36750</v>
      </c>
      <c r="F16" s="178">
        <f t="shared" si="2"/>
        <v>0.00024214948552726915</v>
      </c>
      <c r="G16" s="177">
        <f>SUMIF('Prog-III Detalle'!$A$6:$A$25,A16,'Prog-III Detalle'!$C$6:$C$25)</f>
        <v>0</v>
      </c>
      <c r="H16" s="178">
        <f>+G16/$G$7</f>
        <v>0</v>
      </c>
      <c r="I16" s="179">
        <f>SUMIF('Prog-IV Detalle'!$A$6:$A$7,A16,'Prog-IV Detalle'!$C$6:$C$7)</f>
        <v>0</v>
      </c>
      <c r="J16" s="178">
        <f>+I16/$I$7</f>
        <v>0</v>
      </c>
      <c r="K16" s="177">
        <f t="shared" si="5"/>
        <v>36750</v>
      </c>
      <c r="L16" s="180">
        <f>+K16/$K$7</f>
        <v>3.4961405375743654E-05</v>
      </c>
    </row>
    <row r="17" spans="1:12" ht="30" customHeight="1">
      <c r="A17" s="175" t="s">
        <v>493</v>
      </c>
      <c r="B17" s="309" t="s">
        <v>494</v>
      </c>
      <c r="C17" s="177">
        <f>SUMIF('Prog-I Detalle'!$A$12:$A$13,A17,'Prog-I Detalle'!$C$12:$C$13)</f>
        <v>0</v>
      </c>
      <c r="D17" s="178">
        <f>+C17/$C$7</f>
        <v>0</v>
      </c>
      <c r="E17" s="177">
        <f>SUMIF('Prog-II Detalle'!$A$6:$A$54,A17,'Prog-II Detalle'!$C$6:$C$54)</f>
        <v>73500</v>
      </c>
      <c r="F17" s="178">
        <f t="shared" si="2"/>
        <v>0.0004842989710545383</v>
      </c>
      <c r="G17" s="177">
        <f>SUMIF('Prog-III Detalle'!$A$6:$A$25,A17,'Prog-III Detalle'!$C$6:$C$25)</f>
        <v>0</v>
      </c>
      <c r="H17" s="178">
        <f>+G17/$G$7</f>
        <v>0</v>
      </c>
      <c r="I17" s="179">
        <f>SUMIF('Prog-IV Detalle'!$A$6:$A$7,A17,'Prog-IV Detalle'!$C$6:$C$7)</f>
        <v>0</v>
      </c>
      <c r="J17" s="178">
        <f>+I17/$I$7</f>
        <v>0</v>
      </c>
      <c r="K17" s="177">
        <f t="shared" si="5"/>
        <v>73500</v>
      </c>
      <c r="L17" s="180">
        <f>+K17/$K$7</f>
        <v>6.992281075148731E-05</v>
      </c>
    </row>
    <row r="18" spans="1:13" s="174" customFormat="1" ht="16.5" customHeight="1">
      <c r="A18" s="200">
        <v>1</v>
      </c>
      <c r="B18" s="201" t="s">
        <v>29</v>
      </c>
      <c r="C18" s="181">
        <f>SUM(C19:C29)</f>
        <v>72000000</v>
      </c>
      <c r="D18" s="182">
        <f t="shared" si="1"/>
        <v>0.8199168052805965</v>
      </c>
      <c r="E18" s="181">
        <f>SUM(E19:E29)</f>
        <v>90977806.72</v>
      </c>
      <c r="F18" s="182">
        <f t="shared" si="2"/>
        <v>0.5994620160992471</v>
      </c>
      <c r="G18" s="181">
        <f>SUM(G19:G28)</f>
        <v>26000000</v>
      </c>
      <c r="H18" s="182">
        <f t="shared" si="3"/>
        <v>0.03336237856450763</v>
      </c>
      <c r="I18" s="181">
        <f>SUM(I19:I28)</f>
        <v>970127.38</v>
      </c>
      <c r="J18" s="182">
        <f t="shared" si="4"/>
        <v>0.03007341308139057</v>
      </c>
      <c r="K18" s="181">
        <f>SUM(K19:K28)</f>
        <v>148947934.09999996</v>
      </c>
      <c r="L18" s="183">
        <f t="shared" si="6"/>
        <v>0.14169875112788166</v>
      </c>
      <c r="M18" s="317"/>
    </row>
    <row r="19" spans="1:12" ht="25.5">
      <c r="A19" s="175" t="s">
        <v>81</v>
      </c>
      <c r="B19" s="310" t="s">
        <v>124</v>
      </c>
      <c r="C19" s="177">
        <f>SUMIF('Prog-I Detalle'!$A$6:$A$14,A19,'Prog-I Detalle'!$C$6:$C$14)</f>
        <v>0</v>
      </c>
      <c r="D19" s="178">
        <f t="shared" si="1"/>
        <v>0</v>
      </c>
      <c r="E19" s="177">
        <f>SUMIF('Prog-II Detalle'!$A$6:$A$54,A19,'Prog-II Detalle'!$C$6:$C$54)</f>
        <v>31520000</v>
      </c>
      <c r="F19" s="185">
        <f t="shared" si="2"/>
        <v>0.20768848391345643</v>
      </c>
      <c r="G19" s="177">
        <f>SUMIF('Prog-III Detalle'!$A$6:$A$25,A19,'Prog-III Detalle'!$C$6:$C$25)</f>
        <v>0</v>
      </c>
      <c r="H19" s="178">
        <f t="shared" si="3"/>
        <v>0</v>
      </c>
      <c r="I19" s="179">
        <f>SUMIF('Prog-IV Detalle'!$A$6:$A$13,A19,'Prog-IV Detalle'!$C$6:$C$13)</f>
        <v>0</v>
      </c>
      <c r="J19" s="178">
        <f t="shared" si="4"/>
        <v>0</v>
      </c>
      <c r="K19" s="177">
        <f aca="true" t="shared" si="7" ref="K19:K26">+C19++E19+G19+I19</f>
        <v>31520000</v>
      </c>
      <c r="L19" s="180">
        <f t="shared" si="6"/>
        <v>0.029985945508665034</v>
      </c>
    </row>
    <row r="20" spans="1:12" ht="12.75">
      <c r="A20" s="175" t="s">
        <v>423</v>
      </c>
      <c r="B20" s="310" t="s">
        <v>362</v>
      </c>
      <c r="C20" s="177">
        <f>SUMIF('Prog-I Detalle'!$A$6:$A$14,A20,'Prog-I Detalle'!$C$6:$C$14)</f>
        <v>5000000</v>
      </c>
      <c r="D20" s="178">
        <f t="shared" si="1"/>
        <v>0.05693866703337476</v>
      </c>
      <c r="E20" s="177">
        <f>SUMIF('Prog-II Detalle'!$A$6:$A$54,A20,'Prog-II Detalle'!$C$6:$C$54)</f>
        <v>0</v>
      </c>
      <c r="F20" s="185">
        <f t="shared" si="2"/>
        <v>0</v>
      </c>
      <c r="G20" s="177">
        <f>SUMIF('Prog-III Detalle'!$A$6:$A$25,A20,'Prog-III Detalle'!$C$6:$C$25)</f>
        <v>0</v>
      </c>
      <c r="H20" s="178">
        <f t="shared" si="3"/>
        <v>0</v>
      </c>
      <c r="I20" s="179">
        <f>SUMIF('Prog-IV Detalle'!$A$6:$A$13,A20,'Prog-IV Detalle'!$C$6:$C$13)</f>
        <v>0</v>
      </c>
      <c r="J20" s="178">
        <f t="shared" si="4"/>
        <v>0</v>
      </c>
      <c r="K20" s="177">
        <f t="shared" si="7"/>
        <v>5000000</v>
      </c>
      <c r="L20" s="180">
        <f t="shared" si="6"/>
        <v>0.004756653792618184</v>
      </c>
    </row>
    <row r="21" spans="1:12" ht="12.75">
      <c r="A21" s="175" t="s">
        <v>180</v>
      </c>
      <c r="B21" s="310" t="s">
        <v>447</v>
      </c>
      <c r="C21" s="177">
        <f>SUMIF('Prog-I Detalle'!$A$6:$A$14,A21,'Prog-I Detalle'!$C$6:$C$14)</f>
        <v>0</v>
      </c>
      <c r="D21" s="178">
        <f t="shared" si="1"/>
        <v>0</v>
      </c>
      <c r="E21" s="177">
        <f>SUMIF('Prog-II Detalle'!$A$6:$A$54,A21,'Prog-II Detalle'!$C$6:$C$54)</f>
        <v>0</v>
      </c>
      <c r="F21" s="185">
        <f t="shared" si="2"/>
        <v>0</v>
      </c>
      <c r="G21" s="177">
        <f>SUMIF('Prog-III Detalle'!$A$6:$A$25,A21,'Prog-III Detalle'!$C$6:$C$25)</f>
        <v>0</v>
      </c>
      <c r="H21" s="178">
        <f t="shared" si="3"/>
        <v>0</v>
      </c>
      <c r="I21" s="179">
        <f>SUMIF('Prog-IV Detalle'!$A$6:$A$13,A21,'Prog-IV Detalle'!$C$6:$C$13)</f>
        <v>0</v>
      </c>
      <c r="J21" s="178">
        <f t="shared" si="4"/>
        <v>0</v>
      </c>
      <c r="K21" s="177">
        <f>+C21++E21+G21+I21</f>
        <v>0</v>
      </c>
      <c r="L21" s="180">
        <f t="shared" si="6"/>
        <v>0</v>
      </c>
    </row>
    <row r="22" spans="1:12" ht="12.75">
      <c r="A22" s="175" t="s">
        <v>427</v>
      </c>
      <c r="B22" s="310" t="s">
        <v>389</v>
      </c>
      <c r="C22" s="177">
        <f>SUMIF('Prog-I Detalle'!$A$6:$A$14,A22,'Prog-I Detalle'!$C$6:$C$14)</f>
        <v>0</v>
      </c>
      <c r="D22" s="178">
        <f t="shared" si="1"/>
        <v>0</v>
      </c>
      <c r="E22" s="177">
        <f>SUMIF('Prog-II Detalle'!$A$6:$A$54,A22,'Prog-II Detalle'!$C$6:$C$54)</f>
        <v>1000000</v>
      </c>
      <c r="F22" s="185">
        <f t="shared" si="2"/>
        <v>0.006589101647000521</v>
      </c>
      <c r="G22" s="177">
        <f>SUMIF('Prog-III Detalle'!$A$6:$A$25,A22,'Prog-III Detalle'!$C$6:$C$25)</f>
        <v>0</v>
      </c>
      <c r="H22" s="178">
        <f t="shared" si="3"/>
        <v>0</v>
      </c>
      <c r="I22" s="179">
        <f>SUMIF('Prog-IV Detalle'!$A$6:$A$13,A22,'Prog-IV Detalle'!$C$6:$C$13)</f>
        <v>0</v>
      </c>
      <c r="J22" s="178">
        <f t="shared" si="4"/>
        <v>0</v>
      </c>
      <c r="K22" s="177">
        <f>+C22++E22+G22+I22</f>
        <v>1000000</v>
      </c>
      <c r="L22" s="180">
        <f t="shared" si="6"/>
        <v>0.0009513307585236369</v>
      </c>
    </row>
    <row r="23" spans="1:12" ht="12.75">
      <c r="A23" s="175" t="s">
        <v>352</v>
      </c>
      <c r="B23" s="310" t="s">
        <v>298</v>
      </c>
      <c r="C23" s="177">
        <f>SUMIF('Prog-I Detalle'!$A$6:$A$14,A23,'Prog-I Detalle'!$C$6:$C$14)</f>
        <v>0</v>
      </c>
      <c r="D23" s="178">
        <f t="shared" si="1"/>
        <v>0</v>
      </c>
      <c r="E23" s="177">
        <f>SUMIF('Prog-II Detalle'!$A$6:$A$54,A23,'Prog-II Detalle'!$C$6:$C$54)</f>
        <v>15000000</v>
      </c>
      <c r="F23" s="185">
        <f t="shared" si="2"/>
        <v>0.09883652470500781</v>
      </c>
      <c r="G23" s="177">
        <f>SUMIF('Prog-III Detalle'!$A$6:$A$25,A23,'Prog-III Detalle'!$C$6:$C$25)</f>
        <v>26000000</v>
      </c>
      <c r="H23" s="178">
        <f t="shared" si="3"/>
        <v>0.03336237856450763</v>
      </c>
      <c r="I23" s="179">
        <f>SUMIF('Prog-IV Detalle'!$A$6:$A$13,A23,'Prog-IV Detalle'!$C$6:$C$13)</f>
        <v>0</v>
      </c>
      <c r="J23" s="178">
        <f t="shared" si="4"/>
        <v>0</v>
      </c>
      <c r="K23" s="177">
        <f t="shared" si="7"/>
        <v>41000000</v>
      </c>
      <c r="L23" s="180">
        <f t="shared" si="6"/>
        <v>0.039004561099469114</v>
      </c>
    </row>
    <row r="24" spans="1:12" ht="25.5">
      <c r="A24" s="175" t="s">
        <v>201</v>
      </c>
      <c r="B24" s="310" t="s">
        <v>200</v>
      </c>
      <c r="C24" s="177">
        <f>SUMIF('Prog-I Detalle'!$A$6:$A$14,A24,'Prog-I Detalle'!$C$6:$C$14)</f>
        <v>26000000</v>
      </c>
      <c r="D24" s="178">
        <f t="shared" si="1"/>
        <v>0.29608106857354877</v>
      </c>
      <c r="E24" s="177">
        <f>SUMIF('Prog-II Detalle'!$A$6:$A$54,A24,'Prog-II Detalle'!$C$6:$C$54)</f>
        <v>0</v>
      </c>
      <c r="F24" s="185">
        <f t="shared" si="2"/>
        <v>0</v>
      </c>
      <c r="G24" s="177">
        <f>SUMIF('Prog-III Detalle'!$A$6:$A$25,A24,'Prog-III Detalle'!$C$6:$C$25)</f>
        <v>0</v>
      </c>
      <c r="H24" s="178">
        <f t="shared" si="3"/>
        <v>0</v>
      </c>
      <c r="I24" s="179">
        <f>SUMIF('Prog-IV Detalle'!$A$6:$A$13,A24,'Prog-IV Detalle'!$C$6:$C$13)</f>
        <v>0</v>
      </c>
      <c r="J24" s="178">
        <f t="shared" si="4"/>
        <v>0</v>
      </c>
      <c r="K24" s="177">
        <f t="shared" si="7"/>
        <v>26000000</v>
      </c>
      <c r="L24" s="180">
        <f t="shared" si="6"/>
        <v>0.02473459972161456</v>
      </c>
    </row>
    <row r="25" spans="1:12" ht="13.5" customHeight="1">
      <c r="A25" s="175" t="s">
        <v>82</v>
      </c>
      <c r="B25" s="310" t="s">
        <v>117</v>
      </c>
      <c r="C25" s="177">
        <f>SUMIF('Prog-I Detalle'!$A$6:$A$14,A25,'Prog-I Detalle'!$C$6:$C$14)</f>
        <v>0</v>
      </c>
      <c r="D25" s="178">
        <f t="shared" si="1"/>
        <v>0</v>
      </c>
      <c r="E25" s="177">
        <f>SUMIF('Prog-II Detalle'!$A$6:$A$54,A25,'Prog-II Detalle'!$C$6:$C$54)</f>
        <v>38848764.6</v>
      </c>
      <c r="F25" s="185">
        <f t="shared" si="2"/>
        <v>0.25597845880979553</v>
      </c>
      <c r="G25" s="177">
        <f>SUMIF('Prog-III Detalle'!$A$6:$A$25,A25,'Prog-III Detalle'!$C$6:$C$25)</f>
        <v>0</v>
      </c>
      <c r="H25" s="178">
        <f t="shared" si="3"/>
        <v>0</v>
      </c>
      <c r="I25" s="179">
        <f>SUMIF('Prog-IV Detalle'!$A$6:$A$13,A25,'Prog-IV Detalle'!$C$6:$C$13)</f>
        <v>0</v>
      </c>
      <c r="J25" s="178">
        <f t="shared" si="4"/>
        <v>0</v>
      </c>
      <c r="K25" s="177">
        <f t="shared" si="7"/>
        <v>38848764.6</v>
      </c>
      <c r="L25" s="180">
        <f t="shared" si="6"/>
        <v>0.03695802469462422</v>
      </c>
    </row>
    <row r="26" spans="1:12" ht="13.5" customHeight="1">
      <c r="A26" s="175" t="s">
        <v>196</v>
      </c>
      <c r="B26" s="310" t="s">
        <v>192</v>
      </c>
      <c r="C26" s="177">
        <f>SUMIF('Prog-I Detalle'!$A$6:$A$14,A26,'Prog-I Detalle'!$C$6:$C$14)</f>
        <v>0</v>
      </c>
      <c r="D26" s="178">
        <f t="shared" si="1"/>
        <v>0</v>
      </c>
      <c r="E26" s="177">
        <f>SUMIF('Prog-II Detalle'!$A$6:$A$54,A26,'Prog-II Detalle'!$C$6:$C$54)</f>
        <v>2312443.42</v>
      </c>
      <c r="F26" s="185">
        <f t="shared" si="2"/>
        <v>0.015236924747317518</v>
      </c>
      <c r="G26" s="177">
        <f>SUMIF('Prog-III Detalle'!$A$6:$A$25,A26,'Prog-III Detalle'!$C$6:$C$25)</f>
        <v>0</v>
      </c>
      <c r="H26" s="178">
        <f t="shared" si="3"/>
        <v>0</v>
      </c>
      <c r="I26" s="179">
        <f>SUMIF('Prog-IV Detalle'!$A$6:$A$13,A26,'Prog-IV Detalle'!$C$6:$C$13)</f>
        <v>0</v>
      </c>
      <c r="J26" s="178">
        <f t="shared" si="4"/>
        <v>0</v>
      </c>
      <c r="K26" s="177">
        <f t="shared" si="7"/>
        <v>2312443.42</v>
      </c>
      <c r="L26" s="180">
        <f t="shared" si="6"/>
        <v>0.002199898552791593</v>
      </c>
    </row>
    <row r="27" spans="1:12" ht="13.5" customHeight="1">
      <c r="A27" s="175" t="s">
        <v>461</v>
      </c>
      <c r="B27" s="310" t="s">
        <v>459</v>
      </c>
      <c r="C27" s="177">
        <f>SUMIF('Prog-I Detalle'!$A$6:$A$14,A27,'Prog-I Detalle'!$C$6:$C$14)</f>
        <v>0</v>
      </c>
      <c r="D27" s="178">
        <f>+C27/$C$7</f>
        <v>0</v>
      </c>
      <c r="E27" s="177">
        <f>SUMIF('Prog-II Detalle'!$A$6:$A$54,A27,'Prog-II Detalle'!$C$6:$C$54)</f>
        <v>1136598.7</v>
      </c>
      <c r="F27" s="185">
        <f t="shared" si="2"/>
        <v>0.007489164366148651</v>
      </c>
      <c r="G27" s="177">
        <f>SUMIF('Prog-III Detalle'!$A$6:$A$25,A27,'Prog-III Detalle'!$C$6:$C$25)</f>
        <v>0</v>
      </c>
      <c r="H27" s="178">
        <f>+G27/$G$7</f>
        <v>0</v>
      </c>
      <c r="I27" s="179">
        <f>SUMIF('Prog-IV Detalle'!$A$6:$A$13,A27,'Prog-IV Detalle'!$C$6:$C$13)</f>
        <v>0</v>
      </c>
      <c r="J27" s="178">
        <f>+I27/$I$7</f>
        <v>0</v>
      </c>
      <c r="K27" s="177">
        <f>+C27++E27+G27+I27</f>
        <v>1136598.7</v>
      </c>
      <c r="L27" s="180">
        <f>+K27/$K$7</f>
        <v>0.0010812813034079796</v>
      </c>
    </row>
    <row r="28" spans="1:12" ht="25.5">
      <c r="A28" s="175" t="s">
        <v>240</v>
      </c>
      <c r="B28" s="310" t="s">
        <v>228</v>
      </c>
      <c r="C28" s="177">
        <f>SUMIF('Prog-I Detalle'!$A$6:$A$14,A28,'Prog-I Detalle'!$C$6:$C$14)</f>
        <v>0</v>
      </c>
      <c r="D28" s="178">
        <f t="shared" si="1"/>
        <v>0</v>
      </c>
      <c r="E28" s="177">
        <f>SUMIF('Prog-II Detalle'!$A$6:$A$54,A28,'Prog-II Detalle'!$C$6:$C$54)</f>
        <v>1160000</v>
      </c>
      <c r="F28" s="185">
        <f t="shared" si="2"/>
        <v>0.007643357910520604</v>
      </c>
      <c r="G28" s="177">
        <f>SUMIF('Prog-III Detalle'!$A$6:$A$25,A28,'Prog-III Detalle'!$C$6:$C$25)</f>
        <v>0</v>
      </c>
      <c r="H28" s="178">
        <f t="shared" si="3"/>
        <v>0</v>
      </c>
      <c r="I28" s="179">
        <f>SUMIF('Prog-IV Detalle'!$A$6:$A$13,A28,'Prog-IV Detalle'!$C$6:$C$13)</f>
        <v>970127.38</v>
      </c>
      <c r="J28" s="178">
        <f t="shared" si="4"/>
        <v>0.03007341308139057</v>
      </c>
      <c r="K28" s="177">
        <f>+C28++E28+G28+I28</f>
        <v>2130127.38</v>
      </c>
      <c r="L28" s="180">
        <f t="shared" si="6"/>
        <v>0.002026455696167367</v>
      </c>
    </row>
    <row r="29" spans="1:12" ht="25.5">
      <c r="A29" s="175" t="s">
        <v>349</v>
      </c>
      <c r="B29" s="310" t="s">
        <v>350</v>
      </c>
      <c r="C29" s="177">
        <f>SUMIF('Prog-I Detalle'!$A$6:$A$14,A29,'Prog-I Detalle'!$C$6:$C$14)</f>
        <v>41000000</v>
      </c>
      <c r="D29" s="178">
        <f t="shared" si="1"/>
        <v>0.466897069673673</v>
      </c>
      <c r="E29" s="177">
        <f>SUMIF('Prog-II Detalle'!$A$6:$A$54,A29,'Prog-II Detalle'!$C$6:$C$54)</f>
        <v>0</v>
      </c>
      <c r="F29" s="185">
        <f t="shared" si="2"/>
        <v>0</v>
      </c>
      <c r="G29" s="177">
        <f>SUMIF('Prog-III Detalle'!$A$6:$A$25,A29,'Prog-III Detalle'!$C$6:$C$25)</f>
        <v>0</v>
      </c>
      <c r="H29" s="178">
        <f t="shared" si="3"/>
        <v>0</v>
      </c>
      <c r="I29" s="179">
        <f>SUMIF('Prog-IV Detalle'!$A$6:$A$13,A29,'Prog-IV Detalle'!$C$6:$C$13)</f>
        <v>0</v>
      </c>
      <c r="J29" s="178">
        <f t="shared" si="4"/>
        <v>0</v>
      </c>
      <c r="K29" s="177">
        <f>+C29++E29+G29+I29</f>
        <v>41000000</v>
      </c>
      <c r="L29" s="180">
        <f t="shared" si="6"/>
        <v>0.039004561099469114</v>
      </c>
    </row>
    <row r="30" spans="1:12" s="174" customFormat="1" ht="16.5" customHeight="1">
      <c r="A30" s="200">
        <v>2</v>
      </c>
      <c r="B30" s="201" t="s">
        <v>30</v>
      </c>
      <c r="C30" s="181">
        <f>SUM(C31:C35)</f>
        <v>0</v>
      </c>
      <c r="D30" s="182">
        <f t="shared" si="1"/>
        <v>0</v>
      </c>
      <c r="E30" s="181">
        <f>SUM(E31:E41)</f>
        <v>20540220.81</v>
      </c>
      <c r="F30" s="182">
        <f t="shared" si="2"/>
        <v>0.13534160276892537</v>
      </c>
      <c r="G30" s="181">
        <f>SUM(G31:G41)</f>
        <v>0</v>
      </c>
      <c r="H30" s="182">
        <f t="shared" si="3"/>
        <v>0</v>
      </c>
      <c r="I30" s="181">
        <f>SUM(I31:I41)</f>
        <v>55505.9</v>
      </c>
      <c r="J30" s="182">
        <f t="shared" si="4"/>
        <v>0.0017206522499698515</v>
      </c>
      <c r="K30" s="181">
        <f>SUM(K31:K35)</f>
        <v>11012355.12</v>
      </c>
      <c r="L30" s="183">
        <f t="shared" si="6"/>
        <v>0.010476392149441256</v>
      </c>
    </row>
    <row r="31" spans="1:12" ht="12.75">
      <c r="A31" s="175" t="s">
        <v>83</v>
      </c>
      <c r="B31" s="176" t="s">
        <v>107</v>
      </c>
      <c r="C31" s="177">
        <f>SUMIF('Prog-I Detalle'!$A$12:$A$13,A31,'Prog-I Detalle'!$C$12:$C$13)</f>
        <v>0</v>
      </c>
      <c r="D31" s="178">
        <f t="shared" si="1"/>
        <v>0</v>
      </c>
      <c r="E31" s="177">
        <f>SUMIF('Prog-II Detalle'!$A$6:$A$54,A31,'Prog-II Detalle'!$C$6:$C$54)</f>
        <v>9597367.31</v>
      </c>
      <c r="F31" s="185">
        <f t="shared" si="2"/>
        <v>0.06323802874918996</v>
      </c>
      <c r="G31" s="177">
        <f>SUMIF('Prog-III Detalle'!$A$6:$A$25,A31,'Prog-III Detalle'!$C$6:$C$25)</f>
        <v>0</v>
      </c>
      <c r="H31" s="178">
        <f t="shared" si="3"/>
        <v>0</v>
      </c>
      <c r="I31" s="179">
        <f>SUMIF('Prog-IV Detalle'!$A$6:$A$13,A31,'Prog-IV Detalle'!$C$6:$C$13)</f>
        <v>0</v>
      </c>
      <c r="J31" s="178">
        <f t="shared" si="4"/>
        <v>0</v>
      </c>
      <c r="K31" s="177">
        <f aca="true" t="shared" si="8" ref="K31:K41">+C31++E31+G31+I31</f>
        <v>9597367.31</v>
      </c>
      <c r="L31" s="180">
        <f t="shared" si="6"/>
        <v>0.009130270722852257</v>
      </c>
    </row>
    <row r="32" spans="1:12" ht="12.75">
      <c r="A32" s="175" t="s">
        <v>84</v>
      </c>
      <c r="B32" s="176" t="s">
        <v>31</v>
      </c>
      <c r="C32" s="177">
        <f>SUMIF('Prog-I Detalle'!$A$12:$A$13,A32,'Prog-I Detalle'!$C$12:$C$13)</f>
        <v>0</v>
      </c>
      <c r="D32" s="178">
        <f t="shared" si="1"/>
        <v>0</v>
      </c>
      <c r="E32" s="177">
        <f>SUMIF('Prog-II Detalle'!$A$6:$A$54,A32,'Prog-II Detalle'!$C$6:$C$54)</f>
        <v>0</v>
      </c>
      <c r="F32" s="185">
        <f t="shared" si="2"/>
        <v>0</v>
      </c>
      <c r="G32" s="177">
        <f>SUMIF('Prog-III Detalle'!$A$6:$A$25,A32,'Prog-III Detalle'!$C$6:$C$25)</f>
        <v>0</v>
      </c>
      <c r="H32" s="178">
        <f t="shared" si="3"/>
        <v>0</v>
      </c>
      <c r="I32" s="179">
        <f>SUMIF('Prog-IV Detalle'!$A$6:$A$13,A32,'Prog-IV Detalle'!$C$6:$C$13)</f>
        <v>0</v>
      </c>
      <c r="J32" s="178">
        <f t="shared" si="4"/>
        <v>0</v>
      </c>
      <c r="K32" s="177">
        <f t="shared" si="8"/>
        <v>0</v>
      </c>
      <c r="L32" s="180">
        <f t="shared" si="6"/>
        <v>0</v>
      </c>
    </row>
    <row r="33" spans="1:12" ht="12.75">
      <c r="A33" s="175" t="s">
        <v>177</v>
      </c>
      <c r="B33" s="176" t="s">
        <v>178</v>
      </c>
      <c r="C33" s="177">
        <f>SUMIF('Prog-I Detalle'!$A$12:$A$13,A33,'Prog-I Detalle'!$C$12:$C$13)</f>
        <v>0</v>
      </c>
      <c r="D33" s="178">
        <f t="shared" si="1"/>
        <v>0</v>
      </c>
      <c r="E33" s="177">
        <f>SUMIF('Prog-II Detalle'!$A$6:$A$54,A33,'Prog-II Detalle'!$C$6:$C$54)</f>
        <v>834238.62</v>
      </c>
      <c r="F33" s="185">
        <f t="shared" si="2"/>
        <v>0.0054968830650334415</v>
      </c>
      <c r="G33" s="177">
        <f>SUMIF('Prog-III Detalle'!$A$6:$A$25,A33,'Prog-III Detalle'!$C$6:$C$25)</f>
        <v>0</v>
      </c>
      <c r="H33" s="178">
        <f t="shared" si="3"/>
        <v>0</v>
      </c>
      <c r="I33" s="179">
        <f>SUMIF('Prog-IV Detalle'!$A$6:$A$13,A33,'Prog-IV Detalle'!$C$6:$C$13)</f>
        <v>0</v>
      </c>
      <c r="J33" s="178">
        <f t="shared" si="4"/>
        <v>0</v>
      </c>
      <c r="K33" s="177">
        <f t="shared" si="8"/>
        <v>834238.62</v>
      </c>
      <c r="L33" s="180">
        <f t="shared" si="6"/>
        <v>0.0007936368591543121</v>
      </c>
    </row>
    <row r="34" spans="1:12" ht="12" customHeight="1">
      <c r="A34" s="175" t="s">
        <v>85</v>
      </c>
      <c r="B34" s="176" t="s">
        <v>0</v>
      </c>
      <c r="C34" s="177">
        <f>SUMIF('Prog-I Detalle'!$A$12:$A$13,A34,'Prog-I Detalle'!$C$12:$C$13)</f>
        <v>0</v>
      </c>
      <c r="D34" s="178">
        <f t="shared" si="1"/>
        <v>0</v>
      </c>
      <c r="E34" s="177">
        <f>SUMIF('Prog-II Detalle'!$A$6:$A$54,A34,'Prog-II Detalle'!$C$6:$C$54)</f>
        <v>509733.29</v>
      </c>
      <c r="F34" s="185">
        <f t="shared" si="2"/>
        <v>0.003358684460669994</v>
      </c>
      <c r="G34" s="177">
        <f>SUMIF('Prog-III Detalle'!$A$6:$A$25,A34,'Prog-III Detalle'!$C$6:$C$25)</f>
        <v>0</v>
      </c>
      <c r="H34" s="178">
        <f t="shared" si="3"/>
        <v>0</v>
      </c>
      <c r="I34" s="179">
        <f>SUMIF('Prog-IV Detalle'!$A$6:$A$13,A34,'Prog-IV Detalle'!$C$6:$C$13)</f>
        <v>55505.9</v>
      </c>
      <c r="J34" s="178">
        <f t="shared" si="4"/>
        <v>0.0017206522499698515</v>
      </c>
      <c r="K34" s="177">
        <f t="shared" si="8"/>
        <v>565239.19</v>
      </c>
      <c r="L34" s="180">
        <f t="shared" si="6"/>
        <v>0.0005377294273699861</v>
      </c>
    </row>
    <row r="35" spans="1:12" ht="12" customHeight="1">
      <c r="A35" s="175" t="s">
        <v>179</v>
      </c>
      <c r="B35" s="176" t="s">
        <v>170</v>
      </c>
      <c r="C35" s="177">
        <f>SUMIF('Prog-I Detalle'!$A$12:$A$13,A35,'Prog-I Detalle'!$C$12:$C$13)</f>
        <v>0</v>
      </c>
      <c r="D35" s="178">
        <f t="shared" si="1"/>
        <v>0</v>
      </c>
      <c r="E35" s="177">
        <f>SUMIF('Prog-II Detalle'!$A$6:$A$54,A35,'Prog-II Detalle'!$C$6:$C$54)</f>
        <v>15510</v>
      </c>
      <c r="F35" s="185">
        <f aca="true" t="shared" si="9" ref="F35:F41">+E35/$E$7</f>
        <v>0.00010219696654497808</v>
      </c>
      <c r="G35" s="177">
        <f>SUMIF('Prog-III Detalle'!$A$6:$A$25,A35,'Prog-III Detalle'!$C$6:$C$25)</f>
        <v>0</v>
      </c>
      <c r="H35" s="178">
        <f t="shared" si="3"/>
        <v>0</v>
      </c>
      <c r="I35" s="179">
        <f>SUMIF('Prog-IV Detalle'!$A$6:$A$13,A35,'Prog-IV Detalle'!$C$6:$C$13)</f>
        <v>0</v>
      </c>
      <c r="J35" s="178">
        <f t="shared" si="4"/>
        <v>0</v>
      </c>
      <c r="K35" s="177">
        <f t="shared" si="8"/>
        <v>15510</v>
      </c>
      <c r="L35" s="180">
        <f t="shared" si="6"/>
        <v>1.475514006470161E-05</v>
      </c>
    </row>
    <row r="36" spans="1:12" ht="12" customHeight="1">
      <c r="A36" s="175" t="s">
        <v>418</v>
      </c>
      <c r="B36" s="176" t="s">
        <v>419</v>
      </c>
      <c r="C36" s="177">
        <f>SUMIF('Prog-I Detalle'!$A$12:$A$13,A36,'Prog-I Detalle'!$C$12:$C$13)</f>
        <v>0</v>
      </c>
      <c r="D36" s="178">
        <f t="shared" si="1"/>
        <v>0</v>
      </c>
      <c r="E36" s="177">
        <f>SUMIF('Prog-II Detalle'!$A$6:$A$54,A36,'Prog-II Detalle'!$C$6:$C$54)</f>
        <v>239331.55</v>
      </c>
      <c r="F36" s="185">
        <f t="shared" si="9"/>
        <v>0.0015769799102841875</v>
      </c>
      <c r="G36" s="177">
        <f>SUMIF('Prog-III Detalle'!$A$6:$A$25,A36,'Prog-III Detalle'!$C$6:$C$25)</f>
        <v>0</v>
      </c>
      <c r="H36" s="178">
        <f t="shared" si="3"/>
        <v>0</v>
      </c>
      <c r="I36" s="179">
        <f>SUMIF('Prog-IV Detalle'!$A$6:$A$13,A36,'Prog-IV Detalle'!$C$6:$C$13)</f>
        <v>0</v>
      </c>
      <c r="J36" s="178">
        <f t="shared" si="4"/>
        <v>0</v>
      </c>
      <c r="K36" s="177">
        <f>+C36++E36+G36+I36</f>
        <v>239331.55</v>
      </c>
      <c r="L36" s="180">
        <f t="shared" si="6"/>
        <v>0.00022768346500013771</v>
      </c>
    </row>
    <row r="37" spans="1:12" ht="12.75">
      <c r="A37" s="175" t="s">
        <v>249</v>
      </c>
      <c r="B37" s="176" t="s">
        <v>248</v>
      </c>
      <c r="C37" s="177"/>
      <c r="D37" s="178">
        <f t="shared" si="1"/>
        <v>0</v>
      </c>
      <c r="E37" s="177">
        <f>SUMIF('Prog-II Detalle'!$A$6:$A$54,A37,'Prog-II Detalle'!$C$6:$C$54)</f>
        <v>1892987.75</v>
      </c>
      <c r="F37" s="185">
        <f t="shared" si="9"/>
        <v>0.01247308870127681</v>
      </c>
      <c r="G37" s="177">
        <f>SUMIF('Prog-III Detalle'!$A$6:$A$25,A37,'Prog-III Detalle'!$C$6:$C$25)</f>
        <v>0</v>
      </c>
      <c r="H37" s="178">
        <f t="shared" si="3"/>
        <v>0</v>
      </c>
      <c r="I37" s="179">
        <f>SUMIF('Prog-IV Detalle'!$A$6:$A$13,A37,'Prog-IV Detalle'!$C$6:$C$13)</f>
        <v>0</v>
      </c>
      <c r="J37" s="178">
        <f t="shared" si="4"/>
        <v>0</v>
      </c>
      <c r="K37" s="177">
        <f>+C37++E37+G37+I37</f>
        <v>1892987.75</v>
      </c>
      <c r="L37" s="180">
        <f t="shared" si="6"/>
        <v>0.0018008574720834527</v>
      </c>
    </row>
    <row r="38" spans="1:12" ht="25.5">
      <c r="A38" s="175" t="s">
        <v>420</v>
      </c>
      <c r="B38" s="176" t="s">
        <v>410</v>
      </c>
      <c r="C38" s="177"/>
      <c r="D38" s="178">
        <f t="shared" si="1"/>
        <v>0</v>
      </c>
      <c r="E38" s="177">
        <f>SUMIF('Prog-II Detalle'!$A$6:$A$54,A38,'Prog-II Detalle'!$C$6:$C$54)</f>
        <v>38722.28</v>
      </c>
      <c r="F38" s="185">
        <f t="shared" si="9"/>
        <v>0.00025514503892361533</v>
      </c>
      <c r="G38" s="177">
        <f>SUMIF('Prog-III Detalle'!$A$6:$A$25,A38,'Prog-III Detalle'!$C$6:$C$25)</f>
        <v>0</v>
      </c>
      <c r="H38" s="178">
        <f t="shared" si="3"/>
        <v>0</v>
      </c>
      <c r="I38" s="179">
        <f>SUMIF('Prog-IV Detalle'!$A$6:$A$13,A38,'Prog-IV Detalle'!$C$6:$C$13)</f>
        <v>0</v>
      </c>
      <c r="J38" s="178">
        <f t="shared" si="4"/>
        <v>0</v>
      </c>
      <c r="K38" s="177">
        <f>+C38++E38+G38+I38</f>
        <v>38722.28</v>
      </c>
      <c r="L38" s="180">
        <f t="shared" si="6"/>
        <v>3.6837696004164655E-05</v>
      </c>
    </row>
    <row r="39" spans="1:12" ht="12.75">
      <c r="A39" s="175" t="s">
        <v>195</v>
      </c>
      <c r="B39" s="176" t="s">
        <v>191</v>
      </c>
      <c r="C39" s="177"/>
      <c r="D39" s="178">
        <f t="shared" si="1"/>
        <v>0</v>
      </c>
      <c r="E39" s="177">
        <f>SUMIF('Prog-II Detalle'!$A$6:$A$54,A39,'Prog-II Detalle'!$C$6:$C$54)</f>
        <v>2005430</v>
      </c>
      <c r="F39" s="185">
        <f t="shared" si="9"/>
        <v>0.013213982115944255</v>
      </c>
      <c r="G39" s="177">
        <f>SUMIF('Prog-III Detalle'!$A$6:$A$25,A39,'Prog-III Detalle'!$C$6:$C$25)</f>
        <v>0</v>
      </c>
      <c r="H39" s="178">
        <f t="shared" si="3"/>
        <v>0</v>
      </c>
      <c r="I39" s="179">
        <f>SUMIF('Prog-IV Detalle'!$A$6:$A$13,A39,'Prog-IV Detalle'!$C$6:$C$13)</f>
        <v>0</v>
      </c>
      <c r="J39" s="178">
        <f t="shared" si="4"/>
        <v>0</v>
      </c>
      <c r="K39" s="177">
        <f t="shared" si="8"/>
        <v>2005430</v>
      </c>
      <c r="L39" s="180">
        <f t="shared" si="6"/>
        <v>0.0019078272430660573</v>
      </c>
    </row>
    <row r="40" spans="1:12" ht="12.75">
      <c r="A40" s="175" t="s">
        <v>428</v>
      </c>
      <c r="B40" s="176" t="s">
        <v>429</v>
      </c>
      <c r="C40" s="177"/>
      <c r="D40" s="178">
        <f t="shared" si="1"/>
        <v>0</v>
      </c>
      <c r="E40" s="177">
        <f>SUMIF('Prog-II Detalle'!$A$6:$A$54,A40,'Prog-II Detalle'!$C$6:$C$54)</f>
        <v>5400000</v>
      </c>
      <c r="F40" s="185">
        <f t="shared" si="9"/>
        <v>0.03558114889380281</v>
      </c>
      <c r="G40" s="177">
        <f>SUMIF('Prog-III Detalle'!$A$6:$A$25,A40,'Prog-III Detalle'!$C$6:$C$25)</f>
        <v>0</v>
      </c>
      <c r="H40" s="178">
        <f t="shared" si="3"/>
        <v>0</v>
      </c>
      <c r="I40" s="179">
        <f>SUMIF('Prog-IV Detalle'!$A$6:$A$13,A40,'Prog-IV Detalle'!$C$6:$C$13)</f>
        <v>0</v>
      </c>
      <c r="J40" s="178">
        <f t="shared" si="4"/>
        <v>0</v>
      </c>
      <c r="K40" s="177">
        <f>+C40++E40+G40+I40</f>
        <v>5400000</v>
      </c>
      <c r="L40" s="180">
        <f t="shared" si="6"/>
        <v>0.005137186096027639</v>
      </c>
    </row>
    <row r="41" spans="1:12" ht="12.75">
      <c r="A41" s="175" t="s">
        <v>421</v>
      </c>
      <c r="B41" s="176" t="s">
        <v>422</v>
      </c>
      <c r="C41" s="177"/>
      <c r="D41" s="178">
        <f t="shared" si="1"/>
        <v>0</v>
      </c>
      <c r="E41" s="177">
        <f>SUMIF('Prog-II Detalle'!$A$6:$A$54,A41,'Prog-II Detalle'!$C$6:$C$54)</f>
        <v>6900.01</v>
      </c>
      <c r="F41" s="185">
        <f t="shared" si="9"/>
        <v>4.5464867255320066E-05</v>
      </c>
      <c r="G41" s="177">
        <f>SUMIF('Prog-III Detalle'!$A$6:$A$25,A41,'Prog-III Detalle'!$C$6:$C$25)</f>
        <v>0</v>
      </c>
      <c r="H41" s="178">
        <f t="shared" si="3"/>
        <v>0</v>
      </c>
      <c r="I41" s="179">
        <f>SUMIF('Prog-IV Detalle'!$A$6:$A$13,A41,'Prog-IV Detalle'!$C$6:$C$13)</f>
        <v>0</v>
      </c>
      <c r="J41" s="178">
        <f t="shared" si="4"/>
        <v>0</v>
      </c>
      <c r="K41" s="177">
        <f t="shared" si="8"/>
        <v>6900.01</v>
      </c>
      <c r="L41" s="180">
        <f t="shared" si="6"/>
        <v>6.56419174712068E-06</v>
      </c>
    </row>
    <row r="42" spans="1:12" s="174" customFormat="1" ht="16.5" customHeight="1">
      <c r="A42" s="200">
        <v>3</v>
      </c>
      <c r="B42" s="201" t="s">
        <v>126</v>
      </c>
      <c r="C42" s="181">
        <f>SUM(C43:C43)</f>
        <v>0</v>
      </c>
      <c r="D42" s="182">
        <f t="shared" si="1"/>
        <v>0</v>
      </c>
      <c r="E42" s="181">
        <f>SUM(E43:E43)</f>
        <v>0</v>
      </c>
      <c r="F42" s="182">
        <f aca="true" t="shared" si="10" ref="F42:F56">+E42/$E$7</f>
        <v>0</v>
      </c>
      <c r="G42" s="181">
        <f>SUM(G43:G43)</f>
        <v>0</v>
      </c>
      <c r="H42" s="182">
        <f t="shared" si="3"/>
        <v>0</v>
      </c>
      <c r="I42" s="181">
        <f>SUM(I43:I43)</f>
        <v>0</v>
      </c>
      <c r="J42" s="182">
        <f t="shared" si="4"/>
        <v>0</v>
      </c>
      <c r="K42" s="181">
        <f>+C42+E42+G42+I42</f>
        <v>0</v>
      </c>
      <c r="L42" s="183">
        <f t="shared" si="6"/>
        <v>0</v>
      </c>
    </row>
    <row r="43" spans="1:12" ht="25.5">
      <c r="A43" s="175" t="s">
        <v>10</v>
      </c>
      <c r="B43" s="176" t="s">
        <v>11</v>
      </c>
      <c r="C43" s="177">
        <f>SUMIF('Prog-I Detalle'!$A$12:$A$13,A43,'Prog-I Detalle'!$C$12:$C$13)</f>
        <v>0</v>
      </c>
      <c r="D43" s="178">
        <f t="shared" si="1"/>
        <v>0</v>
      </c>
      <c r="E43" s="177">
        <f>SUMIF('Prog-II Detalle'!$A$6:$A$54,A43,'Prog-II Detalle'!$C$6:$C$54)</f>
        <v>0</v>
      </c>
      <c r="F43" s="185">
        <f t="shared" si="10"/>
        <v>0</v>
      </c>
      <c r="G43" s="177">
        <f>SUMIF('Prog-III Detalle'!$A$6:$A$25,A43,'Prog-III Detalle'!$C$6:$C$25)</f>
        <v>0</v>
      </c>
      <c r="H43" s="178">
        <f t="shared" si="3"/>
        <v>0</v>
      </c>
      <c r="I43" s="179">
        <f>SUMIF('Prog-IV Detalle'!$A$6:$A$13,A43,'Prog-IV Detalle'!$C$6:$C$13)</f>
        <v>0</v>
      </c>
      <c r="J43" s="178">
        <f t="shared" si="4"/>
        <v>0</v>
      </c>
      <c r="K43" s="177">
        <f>+C43++E43+G43+I43</f>
        <v>0</v>
      </c>
      <c r="L43" s="180">
        <f t="shared" si="6"/>
        <v>0</v>
      </c>
    </row>
    <row r="44" spans="1:12" s="174" customFormat="1" ht="16.5" customHeight="1">
      <c r="A44" s="200">
        <v>5</v>
      </c>
      <c r="B44" s="201" t="s">
        <v>26</v>
      </c>
      <c r="C44" s="181">
        <f>SUM(C45:C56)</f>
        <v>3000000</v>
      </c>
      <c r="D44" s="182">
        <f t="shared" si="1"/>
        <v>0.03416320022002486</v>
      </c>
      <c r="E44" s="181">
        <f>SUM(E45:E56)</f>
        <v>-188185038.31</v>
      </c>
      <c r="F44" s="182">
        <f t="shared" si="10"/>
        <v>-1.2399703458692772</v>
      </c>
      <c r="G44" s="181">
        <f>SUM(G45:G56)</f>
        <v>628320933.3</v>
      </c>
      <c r="H44" s="182">
        <f t="shared" si="3"/>
        <v>0.8062415706445903</v>
      </c>
      <c r="I44" s="181">
        <f>SUM(I45:I56)</f>
        <v>31233005.850000005</v>
      </c>
      <c r="J44" s="182">
        <f t="shared" si="4"/>
        <v>0.9682059346686396</v>
      </c>
      <c r="K44" s="181">
        <f>+C44+E44+G44+I44</f>
        <v>474368900.84</v>
      </c>
      <c r="L44" s="183">
        <f t="shared" si="6"/>
        <v>0.4512817262561411</v>
      </c>
    </row>
    <row r="45" spans="1:12" s="174" customFormat="1" ht="16.5" customHeight="1">
      <c r="A45" s="186" t="s">
        <v>198</v>
      </c>
      <c r="B45" s="176" t="s">
        <v>199</v>
      </c>
      <c r="C45" s="177">
        <f>SUMIF('Prog-I Detalle'!$A$6:$A$14,A45,'Prog-I Detalle'!$C$6:$C$14)</f>
        <v>0</v>
      </c>
      <c r="D45" s="178">
        <f t="shared" si="1"/>
        <v>0</v>
      </c>
      <c r="E45" s="177">
        <f>SUMIF('Prog-II Detalle'!$A$6:$A$54,A45,'Prog-II Detalle'!$C$6:$C$54)</f>
        <v>1535122.77</v>
      </c>
      <c r="F45" s="185">
        <f t="shared" si="10"/>
        <v>0.010115079972155001</v>
      </c>
      <c r="G45" s="177">
        <f>SUMIF('Prog-III Detalle'!$A$6:$A$25,A45,'Prog-III Detalle'!$C$6:$C$25)</f>
        <v>0</v>
      </c>
      <c r="H45" s="178">
        <f t="shared" si="3"/>
        <v>0</v>
      </c>
      <c r="I45" s="179">
        <f>SUMIF('Prog-IV Detalle'!$A$6:$A$13,A45,'Prog-IV Detalle'!$C$6:$C$13)</f>
        <v>0</v>
      </c>
      <c r="J45" s="178">
        <f t="shared" si="4"/>
        <v>0</v>
      </c>
      <c r="K45" s="177">
        <f aca="true" t="shared" si="11" ref="K45:K54">+C45++E45+G45+I45</f>
        <v>1535122.77</v>
      </c>
      <c r="L45" s="180">
        <f t="shared" si="6"/>
        <v>0.0014604095092110067</v>
      </c>
    </row>
    <row r="46" spans="1:12" ht="12.75">
      <c r="A46" s="186" t="s">
        <v>86</v>
      </c>
      <c r="B46" s="176" t="s">
        <v>27</v>
      </c>
      <c r="C46" s="177">
        <f>SUMIF('Prog-I Detalle'!$A$6:$A$14,A46,'Prog-I Detalle'!$C$6:$C$14)</f>
        <v>0</v>
      </c>
      <c r="D46" s="178">
        <f t="shared" si="1"/>
        <v>0</v>
      </c>
      <c r="E46" s="177">
        <f>SUMIF('Prog-II Detalle'!$A$6:$A$54,A46,'Prog-II Detalle'!$C$6:$C$54)</f>
        <v>-215720161.08</v>
      </c>
      <c r="F46" s="185">
        <f t="shared" si="10"/>
        <v>-1.4214020686634457</v>
      </c>
      <c r="G46" s="177">
        <f>SUMIF('Prog-III Detalle'!$A$6:$A$25,A46,'Prog-III Detalle'!$C$6:$C$25)</f>
        <v>0</v>
      </c>
      <c r="H46" s="178">
        <f t="shared" si="3"/>
        <v>0</v>
      </c>
      <c r="I46" s="179">
        <f>SUMIF('Prog-IV Detalle'!$A$6:$A$13,A46,'Prog-IV Detalle'!$C$6:$C$13)</f>
        <v>0</v>
      </c>
      <c r="J46" s="178">
        <f t="shared" si="4"/>
        <v>0</v>
      </c>
      <c r="K46" s="177">
        <f t="shared" si="11"/>
        <v>-215720161.08</v>
      </c>
      <c r="L46" s="180">
        <f t="shared" si="6"/>
        <v>-0.20522122446907756</v>
      </c>
    </row>
    <row r="47" spans="1:12" ht="12.75">
      <c r="A47" s="186" t="s">
        <v>175</v>
      </c>
      <c r="B47" s="176" t="s">
        <v>176</v>
      </c>
      <c r="C47" s="177">
        <f>SUMIF('Prog-I Detalle'!$A$6:$A$14,A47,'Prog-I Detalle'!$C$6:$C$14)</f>
        <v>0</v>
      </c>
      <c r="D47" s="178">
        <f t="shared" si="1"/>
        <v>0</v>
      </c>
      <c r="E47" s="177">
        <f>SUMIF('Prog-II Detalle'!$A$6:$A$54,A47,'Prog-II Detalle'!$C$6:$C$54)</f>
        <v>0</v>
      </c>
      <c r="F47" s="185">
        <f t="shared" si="10"/>
        <v>0</v>
      </c>
      <c r="G47" s="177">
        <f>SUMIF('Prog-III Detalle'!$A$6:$A$25,A47,'Prog-III Detalle'!$C$6:$C$25)</f>
        <v>0</v>
      </c>
      <c r="H47" s="178">
        <f t="shared" si="3"/>
        <v>0</v>
      </c>
      <c r="I47" s="179">
        <f>SUMIF('Prog-IV Detalle'!$A$6:$A$13,A47,'Prog-IV Detalle'!$C$6:$C$13)</f>
        <v>991833.51</v>
      </c>
      <c r="J47" s="178">
        <f t="shared" si="4"/>
        <v>0.030746291125393788</v>
      </c>
      <c r="K47" s="177">
        <f t="shared" si="11"/>
        <v>991833.51</v>
      </c>
      <c r="L47" s="180">
        <f t="shared" si="6"/>
        <v>0.0009435617253974613</v>
      </c>
    </row>
    <row r="48" spans="1:12" ht="12.75">
      <c r="A48" s="186" t="s">
        <v>87</v>
      </c>
      <c r="B48" s="176" t="s">
        <v>125</v>
      </c>
      <c r="C48" s="177">
        <f>SUMIF('Prog-I Detalle'!$A$6:$A$14,A48,'Prog-I Detalle'!$C$6:$C$14)</f>
        <v>3000000</v>
      </c>
      <c r="D48" s="178">
        <f t="shared" si="1"/>
        <v>0.03416320022002486</v>
      </c>
      <c r="E48" s="177">
        <f>SUMIF('Prog-II Detalle'!$A$6:$A$54,A48,'Prog-II Detalle'!$C$6:$C$54)</f>
        <v>12000000</v>
      </c>
      <c r="F48" s="185">
        <f t="shared" si="10"/>
        <v>0.07906921976400626</v>
      </c>
      <c r="G48" s="177">
        <f>SUMIF('Prog-III Detalle'!$A$6:$A$25,A48,'Prog-III Detalle'!$C$6:$C$25)</f>
        <v>0</v>
      </c>
      <c r="H48" s="178">
        <f t="shared" si="3"/>
        <v>0</v>
      </c>
      <c r="I48" s="179">
        <f>SUMIF('Prog-IV Detalle'!$A$6:$A$13,A48,'Prog-IV Detalle'!$C$6:$C$13)</f>
        <v>0</v>
      </c>
      <c r="J48" s="178">
        <f t="shared" si="4"/>
        <v>0</v>
      </c>
      <c r="K48" s="177">
        <f t="shared" si="11"/>
        <v>15000000</v>
      </c>
      <c r="L48" s="180">
        <f t="shared" si="6"/>
        <v>0.014269961377854554</v>
      </c>
    </row>
    <row r="49" spans="1:12" ht="12.75">
      <c r="A49" s="186" t="s">
        <v>88</v>
      </c>
      <c r="B49" s="176" t="s">
        <v>28</v>
      </c>
      <c r="C49" s="177">
        <f>SUMIF('Prog-I Detalle'!$A$6:$A$14,A49,'Prog-I Detalle'!$C$6:$C$14)</f>
        <v>0</v>
      </c>
      <c r="D49" s="178">
        <f t="shared" si="1"/>
        <v>0</v>
      </c>
      <c r="E49" s="177">
        <f>SUMIF('Prog-II Detalle'!$A$6:$A$54,A49,'Prog-II Detalle'!$C$6:$C$54)</f>
        <v>0</v>
      </c>
      <c r="F49" s="185">
        <f t="shared" si="10"/>
        <v>0</v>
      </c>
      <c r="G49" s="177">
        <f>SUMIF('Prog-III Detalle'!$A$6:$A$25,A49,'Prog-III Detalle'!$C$6:$C$25)</f>
        <v>0</v>
      </c>
      <c r="H49" s="178">
        <f t="shared" si="3"/>
        <v>0</v>
      </c>
      <c r="I49" s="179">
        <f>SUMIF('Prog-IV Detalle'!$A$6:$A$13,A49,'Prog-IV Detalle'!$C$6:$C$13)</f>
        <v>0</v>
      </c>
      <c r="J49" s="178">
        <f t="shared" si="4"/>
        <v>0</v>
      </c>
      <c r="K49" s="177">
        <f t="shared" si="11"/>
        <v>0</v>
      </c>
      <c r="L49" s="180">
        <f t="shared" si="6"/>
        <v>0</v>
      </c>
    </row>
    <row r="50" spans="1:12" ht="12" customHeight="1">
      <c r="A50" s="175" t="s">
        <v>89</v>
      </c>
      <c r="B50" s="176" t="s">
        <v>1</v>
      </c>
      <c r="C50" s="177">
        <f>SUMIF('Prog-I Detalle'!$A$6:$A$14,A50,'Prog-I Detalle'!$C$6:$C$14)</f>
        <v>0</v>
      </c>
      <c r="D50" s="178">
        <f t="shared" si="1"/>
        <v>0</v>
      </c>
      <c r="E50" s="177">
        <f>SUMIF('Prog-II Detalle'!$A$6:$A$54,A50,'Prog-II Detalle'!$C$6:$C$54)</f>
        <v>4000000</v>
      </c>
      <c r="F50" s="185">
        <f t="shared" si="10"/>
        <v>0.026356406588002083</v>
      </c>
      <c r="G50" s="177">
        <f>SUMIF('Prog-III Detalle'!$A$6:$A$25,A50,'Prog-III Detalle'!$C$6:$C$25)</f>
        <v>0</v>
      </c>
      <c r="H50" s="178">
        <f t="shared" si="3"/>
        <v>0</v>
      </c>
      <c r="I50" s="179">
        <f>SUMIF('Prog-IV Detalle'!$A$6:$A$13,A50,'Prog-IV Detalle'!$C$6:$C$13)</f>
        <v>0</v>
      </c>
      <c r="J50" s="178">
        <f t="shared" si="4"/>
        <v>0</v>
      </c>
      <c r="K50" s="177">
        <f t="shared" si="11"/>
        <v>4000000</v>
      </c>
      <c r="L50" s="180">
        <f t="shared" si="6"/>
        <v>0.0038053230340945477</v>
      </c>
    </row>
    <row r="51" spans="1:12" ht="12" customHeight="1">
      <c r="A51" s="175" t="s">
        <v>181</v>
      </c>
      <c r="B51" s="176" t="s">
        <v>169</v>
      </c>
      <c r="C51" s="177">
        <f>SUMIF('Prog-I Detalle'!$A$6:$A$14,A51,'Prog-I Detalle'!$C$6:$C$14)</f>
        <v>0</v>
      </c>
      <c r="D51" s="178">
        <f t="shared" si="1"/>
        <v>0</v>
      </c>
      <c r="E51" s="177">
        <f>SUMIF('Prog-II Detalle'!$A$6:$A$54,A51,'Prog-II Detalle'!$C$6:$C$54)</f>
        <v>2000000</v>
      </c>
      <c r="F51" s="185">
        <f t="shared" si="10"/>
        <v>0.013178203294001042</v>
      </c>
      <c r="G51" s="177">
        <f>SUMIF('Prog-III Detalle'!$A$6:$A$25,A51,'Prog-III Detalle'!$C$6:$C$25)</f>
        <v>7333245.08</v>
      </c>
      <c r="H51" s="178">
        <f t="shared" si="3"/>
        <v>0.009409788402510503</v>
      </c>
      <c r="I51" s="179">
        <f>SUMIF('Prog-IV Detalle'!$A$6:$A$13,A51,'Prog-IV Detalle'!$C$6:$C$13)</f>
        <v>0</v>
      </c>
      <c r="J51" s="178">
        <f t="shared" si="4"/>
        <v>0</v>
      </c>
      <c r="K51" s="177">
        <f t="shared" si="11"/>
        <v>9333245.08</v>
      </c>
      <c r="L51" s="180">
        <f t="shared" si="6"/>
        <v>0.008879003121443402</v>
      </c>
    </row>
    <row r="52" spans="1:12" ht="12.75">
      <c r="A52" s="175" t="s">
        <v>90</v>
      </c>
      <c r="B52" s="176" t="s">
        <v>120</v>
      </c>
      <c r="C52" s="177">
        <f>SUMIF('Prog-I Detalle'!$A$6:$A$14,A52,'Prog-I Detalle'!$C$6:$C$14)</f>
        <v>0</v>
      </c>
      <c r="D52" s="178">
        <f aca="true" t="shared" si="12" ref="D52:D71">+C52/$C$7</f>
        <v>0</v>
      </c>
      <c r="E52" s="177">
        <f>SUMIF('Prog-II Detalle'!$A$6:$A$54,A52,'Prog-II Detalle'!$C$6:$C$54)</f>
        <v>0</v>
      </c>
      <c r="F52" s="185">
        <f t="shared" si="10"/>
        <v>0</v>
      </c>
      <c r="G52" s="177">
        <f>SUMIF('Prog-III Detalle'!$A$6:$A$25,A52,'Prog-III Detalle'!$C$6:$C$25)</f>
        <v>45438748.73</v>
      </c>
      <c r="H52" s="178">
        <f aca="true" t="shared" si="13" ref="H52:H71">+G52/$G$7</f>
        <v>0.05830556679337693</v>
      </c>
      <c r="I52" s="179">
        <f>SUMIF('Prog-IV Detalle'!$A$6:$A$13,A52,'Prog-IV Detalle'!$C$6:$C$13)</f>
        <v>0</v>
      </c>
      <c r="J52" s="178">
        <f aca="true" t="shared" si="14" ref="J52:J71">+I52/$I$7</f>
        <v>0</v>
      </c>
      <c r="K52" s="177">
        <f t="shared" si="11"/>
        <v>45438748.73</v>
      </c>
      <c r="L52" s="180">
        <f t="shared" si="6"/>
        <v>0.04322727929567584</v>
      </c>
    </row>
    <row r="53" spans="1:12" ht="12.75">
      <c r="A53" s="175" t="s">
        <v>91</v>
      </c>
      <c r="B53" s="187" t="s">
        <v>141</v>
      </c>
      <c r="C53" s="177">
        <f>SUMIF('Prog-I Detalle'!$A$6:$A$14,A53,'Prog-I Detalle'!$C$6:$C$14)</f>
        <v>0</v>
      </c>
      <c r="D53" s="178">
        <f t="shared" si="12"/>
        <v>0</v>
      </c>
      <c r="E53" s="177">
        <f>SUMIF('Prog-II Detalle'!$A$6:$A$54,A53,'Prog-II Detalle'!$C$6:$C$54)</f>
        <v>0</v>
      </c>
      <c r="F53" s="185">
        <f t="shared" si="10"/>
        <v>0</v>
      </c>
      <c r="G53" s="177">
        <f>SUMIF('Prog-III Detalle'!$A$6:$A$25,A53,'Prog-III Detalle'!$C$6:$C$25)</f>
        <v>348847097.39</v>
      </c>
      <c r="H53" s="178">
        <f t="shared" si="13"/>
        <v>0.4476295740098016</v>
      </c>
      <c r="I53" s="179">
        <f>SUMIF('Prog-IV Detalle'!$A$6:$A$13,A53,'Prog-IV Detalle'!$C$6:$C$13)</f>
        <v>106174</v>
      </c>
      <c r="J53" s="178">
        <f t="shared" si="14"/>
        <v>0.0032913353713442894</v>
      </c>
      <c r="K53" s="177">
        <f t="shared" si="11"/>
        <v>348953271.39</v>
      </c>
      <c r="L53" s="180">
        <f aca="true" t="shared" si="15" ref="L53:L71">+K53/$K$7</f>
        <v>0.3319699803607532</v>
      </c>
    </row>
    <row r="54" spans="1:12" ht="25.5">
      <c r="A54" s="175" t="s">
        <v>92</v>
      </c>
      <c r="B54" s="176" t="s">
        <v>2</v>
      </c>
      <c r="C54" s="177">
        <f>SUMIF('Prog-I Detalle'!$A$6:$A$14,A54,'Prog-I Detalle'!$C$6:$C$14)</f>
        <v>0</v>
      </c>
      <c r="D54" s="178">
        <f t="shared" si="12"/>
        <v>0</v>
      </c>
      <c r="E54" s="177">
        <f>SUMIF('Prog-II Detalle'!$A$6:$A$54,A54,'Prog-II Detalle'!$C$6:$C$54)</f>
        <v>0</v>
      </c>
      <c r="F54" s="185">
        <f t="shared" si="10"/>
        <v>0</v>
      </c>
      <c r="G54" s="177">
        <f>SUMIF('Prog-III Detalle'!$A$6:$A$25,A54,'Prog-III Detalle'!$C$6:$C$25)</f>
        <v>126701842.1</v>
      </c>
      <c r="H54" s="178">
        <f t="shared" si="13"/>
        <v>0.16257980080617962</v>
      </c>
      <c r="I54" s="179">
        <f>SUMIF('Prog-IV Detalle'!$A$6:$A$13,A54,'Prog-IV Detalle'!$C$6:$C$13)</f>
        <v>30134998.340000004</v>
      </c>
      <c r="J54" s="178">
        <f t="shared" si="14"/>
        <v>0.9341683081719014</v>
      </c>
      <c r="K54" s="177">
        <f t="shared" si="11"/>
        <v>156836840.44</v>
      </c>
      <c r="L54" s="180">
        <f t="shared" si="15"/>
        <v>0.1492037103802358</v>
      </c>
    </row>
    <row r="55" spans="1:12" ht="12.75">
      <c r="A55" s="175" t="s">
        <v>509</v>
      </c>
      <c r="B55" s="176" t="s">
        <v>510</v>
      </c>
      <c r="C55" s="177">
        <f>SUMIF('Prog-I Detalle'!$A$6:$A$14,A55,'Prog-I Detalle'!$C$6:$C$14)</f>
        <v>0</v>
      </c>
      <c r="D55" s="178">
        <f>+C55/$C$7</f>
        <v>0</v>
      </c>
      <c r="E55" s="177">
        <f>SUMIF('Prog-II Detalle'!$A$6:$A$54,A55,'Prog-II Detalle'!$C$6:$C$54)</f>
        <v>0</v>
      </c>
      <c r="F55" s="185">
        <f t="shared" si="10"/>
        <v>0</v>
      </c>
      <c r="G55" s="177">
        <f>SUMIF('Prog-III Detalle'!$A$6:$A$25,A55,'Prog-III Detalle'!$C$6:$C$25)</f>
        <v>100000000</v>
      </c>
      <c r="H55" s="178">
        <f>+G55/$G$7</f>
        <v>0.12831684063272167</v>
      </c>
      <c r="I55" s="179">
        <f>SUMIF('Prog-IV Detalle'!$A$6:$A$13,A55,'Prog-IV Detalle'!$C$6:$C$13)</f>
        <v>0</v>
      </c>
      <c r="J55" s="178">
        <f>+I55/$I$7</f>
        <v>0</v>
      </c>
      <c r="K55" s="177">
        <f>+C55++E55+G55+I55</f>
        <v>100000000</v>
      </c>
      <c r="L55" s="180">
        <f>+K55/$K$7</f>
        <v>0.09513307585236369</v>
      </c>
    </row>
    <row r="56" spans="1:12" ht="12.75">
      <c r="A56" s="175" t="s">
        <v>430</v>
      </c>
      <c r="B56" s="176" t="s">
        <v>431</v>
      </c>
      <c r="C56" s="177">
        <f>SUMIF('Prog-I Detalle'!$A$6:$A$14,A56,'Prog-I Detalle'!$C$6:$C$14)</f>
        <v>0</v>
      </c>
      <c r="D56" s="178">
        <f>+C56/$C$7</f>
        <v>0</v>
      </c>
      <c r="E56" s="177">
        <f>SUMIF('Prog-II Detalle'!$A$6:$A$54,A56,'Prog-II Detalle'!$C$6:$C$54)</f>
        <v>8000000</v>
      </c>
      <c r="F56" s="185">
        <f t="shared" si="10"/>
        <v>0.05271281317600417</v>
      </c>
      <c r="G56" s="177">
        <f>SUMIF('Prog-III Detalle'!$A$6:$A$25,A56,'Prog-III Detalle'!$C$6:$C$25)</f>
        <v>0</v>
      </c>
      <c r="H56" s="178">
        <f>+G56/$G$7</f>
        <v>0</v>
      </c>
      <c r="I56" s="179">
        <f>SUMIF('Prog-IV Detalle'!$A$6:$A$13,A56,'Prog-IV Detalle'!$C$6:$C$13)</f>
        <v>0</v>
      </c>
      <c r="J56" s="178">
        <f>+I56/$I$7</f>
        <v>0</v>
      </c>
      <c r="K56" s="177">
        <f>+C56++E56+G56+I56</f>
        <v>8000000</v>
      </c>
      <c r="L56" s="180">
        <f>+K56/$K$7</f>
        <v>0.007610646068189095</v>
      </c>
    </row>
    <row r="57" spans="1:12" s="174" customFormat="1" ht="16.5" customHeight="1">
      <c r="A57" s="200">
        <v>6</v>
      </c>
      <c r="B57" s="201" t="s">
        <v>116</v>
      </c>
      <c r="C57" s="181">
        <f>SUM(C58:C63)</f>
        <v>12813787.370000001</v>
      </c>
      <c r="D57" s="182">
        <f t="shared" si="12"/>
        <v>0.1459199944993786</v>
      </c>
      <c r="E57" s="181">
        <f>SUM(E58:E63)</f>
        <v>53251261.29</v>
      </c>
      <c r="F57" s="182">
        <f>SUM(F58:F63)</f>
        <v>0.3508779734707941</v>
      </c>
      <c r="G57" s="181">
        <f>SUM(G58:G63)</f>
        <v>0</v>
      </c>
      <c r="H57" s="182">
        <f t="shared" si="13"/>
        <v>0</v>
      </c>
      <c r="I57" s="181">
        <f>SUM(I58:I63)</f>
        <v>0</v>
      </c>
      <c r="J57" s="182">
        <f t="shared" si="14"/>
        <v>0</v>
      </c>
      <c r="K57" s="181">
        <f>C57+E57+G57+I57</f>
        <v>66065048.66</v>
      </c>
      <c r="L57" s="183">
        <f t="shared" si="15"/>
        <v>0.06284971285361877</v>
      </c>
    </row>
    <row r="58" spans="1:12" ht="25.5">
      <c r="A58" s="175" t="s">
        <v>93</v>
      </c>
      <c r="B58" s="176" t="s">
        <v>3</v>
      </c>
      <c r="C58" s="177">
        <f>SUMIF('Prog-I Detalle'!$A$6:$A$14,A58,'Prog-I Detalle'!$C$6:$C$14)</f>
        <v>1424286.34</v>
      </c>
      <c r="D58" s="178">
        <f t="shared" si="12"/>
        <v>0.0162193931346888</v>
      </c>
      <c r="E58" s="177">
        <f>SUMIF('Prog-II Detalle'!$A$6:$A$54,A58,'Prog-II Detalle'!$C$6:$C$54)</f>
        <v>0</v>
      </c>
      <c r="F58" s="185">
        <f aca="true" t="shared" si="16" ref="F58:F63">+E58/$E$7</f>
        <v>0</v>
      </c>
      <c r="G58" s="177">
        <f>SUMIF('Prog-III Detalle'!$A$6:$A$25,A58,'Prog-III Detalle'!$C$6:$C$25)</f>
        <v>0</v>
      </c>
      <c r="H58" s="178">
        <f t="shared" si="13"/>
        <v>0</v>
      </c>
      <c r="I58" s="179">
        <f>SUMIF('Prog-IV Detalle'!$A$6:$A$7,A58,'Prog-IV Detalle'!$C$6:$C$7)</f>
        <v>0</v>
      </c>
      <c r="J58" s="178">
        <f t="shared" si="14"/>
        <v>0</v>
      </c>
      <c r="K58" s="177">
        <f aca="true" t="shared" si="17" ref="K58:K63">+C58++E58+G58+I58</f>
        <v>1424286.34</v>
      </c>
      <c r="L58" s="180">
        <f t="shared" si="15"/>
        <v>0.0013549674041870546</v>
      </c>
    </row>
    <row r="59" spans="1:12" ht="12" customHeight="1">
      <c r="A59" s="175" t="s">
        <v>94</v>
      </c>
      <c r="B59" s="184" t="s">
        <v>4</v>
      </c>
      <c r="C59" s="177">
        <f>SUMIF('Prog-I Detalle'!$A$6:$A$14,A59,'Prog-I Detalle'!$C$6:$C$14)</f>
        <v>3650314.35</v>
      </c>
      <c r="D59" s="178">
        <f t="shared" si="12"/>
        <v>0.041568806668359964</v>
      </c>
      <c r="E59" s="177">
        <f>SUMIF('Prog-II Detalle'!$A$6:$A$54,A59,'Prog-II Detalle'!$C$6:$C$54)</f>
        <v>0</v>
      </c>
      <c r="F59" s="185">
        <f t="shared" si="16"/>
        <v>0</v>
      </c>
      <c r="G59" s="177">
        <f>SUMIF('Prog-III Detalle'!$A$6:$A$25,A59,'Prog-III Detalle'!$C$6:$C$25)</f>
        <v>0</v>
      </c>
      <c r="H59" s="178">
        <f t="shared" si="13"/>
        <v>0</v>
      </c>
      <c r="I59" s="179">
        <f>SUMIF('Prog-IV Detalle'!$A$6:$A$7,A59,'Prog-IV Detalle'!$C$6:$C$7)</f>
        <v>0</v>
      </c>
      <c r="J59" s="178">
        <f t="shared" si="14"/>
        <v>0</v>
      </c>
      <c r="K59" s="177">
        <f t="shared" si="17"/>
        <v>3650314.35</v>
      </c>
      <c r="L59" s="180">
        <f t="shared" si="15"/>
        <v>0.0034726563194352167</v>
      </c>
    </row>
    <row r="60" spans="1:12" ht="12.75">
      <c r="A60" s="175" t="s">
        <v>95</v>
      </c>
      <c r="B60" s="176" t="s">
        <v>5</v>
      </c>
      <c r="C60" s="177">
        <f>SUMIF('Prog-I Detalle'!$A$6:$A$14,A60,'Prog-I Detalle'!$C$6:$C$14)</f>
        <v>7739186.68</v>
      </c>
      <c r="D60" s="178">
        <f t="shared" si="12"/>
        <v>0.08813179469632981</v>
      </c>
      <c r="E60" s="177">
        <f>SUMIF('Prog-II Detalle'!$A$6:$A$54,A60,'Prog-II Detalle'!$C$6:$C$54)</f>
        <v>0</v>
      </c>
      <c r="F60" s="185">
        <f t="shared" si="16"/>
        <v>0</v>
      </c>
      <c r="G60" s="177">
        <f>SUMIF('Prog-III Detalle'!$A$6:$A$25,A60,'Prog-III Detalle'!$C$6:$C$25)</f>
        <v>0</v>
      </c>
      <c r="H60" s="178">
        <f t="shared" si="13"/>
        <v>0</v>
      </c>
      <c r="I60" s="179">
        <f>SUMIF('Prog-IV Detalle'!$A$6:$A$7,A60,'Prog-IV Detalle'!$C$6:$C$7)</f>
        <v>0</v>
      </c>
      <c r="J60" s="178">
        <f t="shared" si="14"/>
        <v>0</v>
      </c>
      <c r="K60" s="177">
        <f t="shared" si="17"/>
        <v>7739186.68</v>
      </c>
      <c r="L60" s="180">
        <f t="shared" si="15"/>
        <v>0.007362526334640427</v>
      </c>
    </row>
    <row r="61" spans="1:12" ht="12.75">
      <c r="A61" s="175" t="s">
        <v>217</v>
      </c>
      <c r="B61" s="176" t="s">
        <v>216</v>
      </c>
      <c r="C61" s="177">
        <f>SUMIF('Prog-I Detalle'!$A$6:$A$14,A61,'Prog-I Detalle'!$C$6:$C$14)</f>
        <v>0</v>
      </c>
      <c r="D61" s="178">
        <f>+C61/$C$7</f>
        <v>0</v>
      </c>
      <c r="E61" s="177">
        <f>SUMIF('Prog-II Detalle'!$A$6:$A$54,A61,'Prog-II Detalle'!$C$6:$C$54)</f>
        <v>30000000</v>
      </c>
      <c r="F61" s="185">
        <f>+E61/$E$7</f>
        <v>0.19767304941001562</v>
      </c>
      <c r="G61" s="177">
        <f>SUMIF('Prog-III Detalle'!$A$6:$A$25,A61,'Prog-III Detalle'!$C$6:$C$25)</f>
        <v>0</v>
      </c>
      <c r="H61" s="178">
        <f>+G61/$G$7</f>
        <v>0</v>
      </c>
      <c r="I61" s="179">
        <f>SUMIF('Prog-IV Detalle'!$A$6:$A$7,A61,'Prog-IV Detalle'!$C$6:$C$7)</f>
        <v>0</v>
      </c>
      <c r="J61" s="178">
        <f>+I61/$I$7</f>
        <v>0</v>
      </c>
      <c r="K61" s="177">
        <f t="shared" si="17"/>
        <v>30000000</v>
      </c>
      <c r="L61" s="180">
        <f>+K61/$K$7</f>
        <v>0.02853992275570911</v>
      </c>
    </row>
    <row r="62" spans="1:12" ht="12.75">
      <c r="A62" s="175" t="s">
        <v>193</v>
      </c>
      <c r="B62" s="176" t="s">
        <v>194</v>
      </c>
      <c r="C62" s="177">
        <f>SUMIF('Prog-I Detalle'!$A$6:$A$14,A62,'Prog-I Detalle'!$C$6:$C$14)</f>
        <v>0</v>
      </c>
      <c r="D62" s="178">
        <f>+C62/$C$7</f>
        <v>0</v>
      </c>
      <c r="E62" s="177">
        <f>SUMIF('Prog-II Detalle'!$A$6:$A$54,A62,'Prog-II Detalle'!$C$6:$C$54)</f>
        <v>17251261.29</v>
      </c>
      <c r="F62" s="185">
        <f>+E62/$E$7</f>
        <v>0.11367031417877532</v>
      </c>
      <c r="G62" s="177">
        <f>SUMIF('Prog-III Detalle'!$A$6:$A$25,A62,'Prog-III Detalle'!$C$6:$C$25)</f>
        <v>0</v>
      </c>
      <c r="H62" s="178">
        <f>+G62/$G$7</f>
        <v>0</v>
      </c>
      <c r="I62" s="179">
        <f>SUMIF('Prog-IV Detalle'!$A$6:$A$7,A62,'Prog-IV Detalle'!$C$6:$C$7)</f>
        <v>0</v>
      </c>
      <c r="J62" s="178">
        <f>+I62/$I$7</f>
        <v>0</v>
      </c>
      <c r="K62" s="177">
        <f t="shared" si="17"/>
        <v>17251261.29</v>
      </c>
      <c r="L62" s="180">
        <f>+K62/$K$7</f>
        <v>0.016411655488505154</v>
      </c>
    </row>
    <row r="63" spans="1:12" ht="12.75">
      <c r="A63" s="175" t="s">
        <v>425</v>
      </c>
      <c r="B63" s="184" t="s">
        <v>426</v>
      </c>
      <c r="C63" s="177">
        <f>SUMIF('Prog-I Detalle'!$A$6:$A$14,A63,'Prog-I Detalle'!$C$6:$C$14)</f>
        <v>0</v>
      </c>
      <c r="D63" s="178">
        <f t="shared" si="12"/>
        <v>0</v>
      </c>
      <c r="E63" s="177">
        <f>SUMIF('Prog-II Detalle'!$A$6:$A$54,A63,'Prog-II Detalle'!$C$6:$C$54)</f>
        <v>6000000</v>
      </c>
      <c r="F63" s="185">
        <f t="shared" si="16"/>
        <v>0.03953460988200313</v>
      </c>
      <c r="G63" s="177">
        <f>SUMIF('Prog-III Detalle'!$A$6:$A$25,A63,'Prog-III Detalle'!$C$6:$C$25)</f>
        <v>0</v>
      </c>
      <c r="H63" s="178">
        <f t="shared" si="13"/>
        <v>0</v>
      </c>
      <c r="I63" s="179">
        <f>SUMIF('Prog-IV Detalle'!$A$6:$A$7,A63,'Prog-IV Detalle'!$C$6:$C$7)</f>
        <v>0</v>
      </c>
      <c r="J63" s="178">
        <f t="shared" si="14"/>
        <v>0</v>
      </c>
      <c r="K63" s="177">
        <f t="shared" si="17"/>
        <v>6000000</v>
      </c>
      <c r="L63" s="180">
        <f t="shared" si="15"/>
        <v>0.0057079845511418216</v>
      </c>
    </row>
    <row r="64" spans="1:12" s="174" customFormat="1" ht="16.5" customHeight="1">
      <c r="A64" s="200">
        <v>7</v>
      </c>
      <c r="B64" s="201" t="s">
        <v>139</v>
      </c>
      <c r="C64" s="181">
        <f>SUM(C65:C65)</f>
        <v>0</v>
      </c>
      <c r="D64" s="182">
        <f t="shared" si="12"/>
        <v>0</v>
      </c>
      <c r="E64" s="181">
        <f>SUM(E65:E67)</f>
        <v>171308852.55</v>
      </c>
      <c r="F64" s="182">
        <f>SUM(F65:F65)</f>
        <v>0.013178203294001042</v>
      </c>
      <c r="G64" s="181">
        <f>SUM(G65:G67)</f>
        <v>125000000</v>
      </c>
      <c r="H64" s="182">
        <f t="shared" si="13"/>
        <v>0.16039605079090208</v>
      </c>
      <c r="I64" s="181">
        <f>SUM(I65:I65)</f>
        <v>0</v>
      </c>
      <c r="J64" s="182">
        <f t="shared" si="14"/>
        <v>0</v>
      </c>
      <c r="K64" s="181">
        <f>+C64+E64+G64+I64</f>
        <v>296308852.55</v>
      </c>
      <c r="L64" s="183">
        <f t="shared" si="15"/>
        <v>0.28188772545366</v>
      </c>
    </row>
    <row r="65" spans="1:12" ht="25.5">
      <c r="A65" s="175" t="s">
        <v>96</v>
      </c>
      <c r="B65" s="176" t="s">
        <v>6</v>
      </c>
      <c r="C65" s="177">
        <f>SUMIF('Prog-I Detalle'!$A$12:$A$13,A65,'Prog-I Detalle'!$C$12:$C$13)</f>
        <v>0</v>
      </c>
      <c r="D65" s="178">
        <f t="shared" si="12"/>
        <v>0</v>
      </c>
      <c r="E65" s="177">
        <f>SUMIF('Prog-II Detalle'!$A$6:$A$54,A65,'Prog-II Detalle'!$C$6:$C$54)</f>
        <v>2000000</v>
      </c>
      <c r="F65" s="185">
        <f>+E65/$E$7</f>
        <v>0.013178203294001042</v>
      </c>
      <c r="G65" s="177">
        <f>SUMIF('Prog-III Detalle'!$A$6:$A$25,A65,'Prog-III Detalle'!$C$6:$C$25)</f>
        <v>100000000</v>
      </c>
      <c r="H65" s="178">
        <f t="shared" si="13"/>
        <v>0.12831684063272167</v>
      </c>
      <c r="I65" s="179">
        <f>SUMIF('Prog-IV Detalle'!$A$6:$A$7,A65,'Prog-IV Detalle'!$C$6:$C$7)</f>
        <v>0</v>
      </c>
      <c r="J65" s="178">
        <f t="shared" si="14"/>
        <v>0</v>
      </c>
      <c r="K65" s="177">
        <f>+C65++E65+G65+I65</f>
        <v>102000000</v>
      </c>
      <c r="L65" s="180">
        <f t="shared" si="15"/>
        <v>0.09703573736941097</v>
      </c>
    </row>
    <row r="66" spans="1:12" ht="25.5">
      <c r="A66" s="175" t="s">
        <v>246</v>
      </c>
      <c r="B66" s="176" t="s">
        <v>247</v>
      </c>
      <c r="C66" s="177">
        <f>SUMIF('Prog-I Detalle'!$A$12:$A$13,A66,'Prog-I Detalle'!$C$12:$C$13)</f>
        <v>0</v>
      </c>
      <c r="D66" s="178">
        <f>+C66/$C$7</f>
        <v>0</v>
      </c>
      <c r="E66" s="177">
        <f>SUMIF('Prog-II Detalle'!$A$6:$A$54,A66,'Prog-II Detalle'!$C$6:$C$54)</f>
        <v>10000000</v>
      </c>
      <c r="F66" s="185">
        <f>+E66/$E$7</f>
        <v>0.06589101647000521</v>
      </c>
      <c r="G66" s="177">
        <f>SUMIF('Prog-III Detalle'!$A$6:$A$25,A66,'Prog-III Detalle'!$C$6:$C$25)</f>
        <v>0</v>
      </c>
      <c r="H66" s="178">
        <f>+G66/$G$7</f>
        <v>0</v>
      </c>
      <c r="I66" s="179">
        <f>SUMIF('Prog-IV Detalle'!$A$6:$A$7,A66,'Prog-IV Detalle'!$C$6:$C$7)</f>
        <v>0</v>
      </c>
      <c r="J66" s="178">
        <f>+I66/$I$7</f>
        <v>0</v>
      </c>
      <c r="K66" s="177">
        <f>+C66++E66+G66+I66</f>
        <v>10000000</v>
      </c>
      <c r="L66" s="180">
        <f>+K66/$K$7</f>
        <v>0.009513307585236368</v>
      </c>
    </row>
    <row r="67" spans="1:12" ht="25.5">
      <c r="A67" s="175" t="s">
        <v>241</v>
      </c>
      <c r="B67" s="176" t="s">
        <v>242</v>
      </c>
      <c r="C67" s="177">
        <f>SUMIF('Prog-I Detalle'!$A$12:$A$13,A67,'Prog-I Detalle'!$C$12:$C$13)</f>
        <v>0</v>
      </c>
      <c r="D67" s="178">
        <f>+C67/$C$7</f>
        <v>0</v>
      </c>
      <c r="E67" s="177">
        <f>SUMIF('Prog-II Detalle'!$A$6:$A$54,A67,'Prog-II Detalle'!$C$6:$C$54)</f>
        <v>159308852.55</v>
      </c>
      <c r="F67" s="185">
        <f>+E67/$E$7</f>
        <v>1.0497022227189683</v>
      </c>
      <c r="G67" s="177">
        <f>SUMIF('Prog-III Detalle'!$A$6:$A$25,A67,'Prog-III Detalle'!$C$6:$C$25)</f>
        <v>25000000</v>
      </c>
      <c r="H67" s="178">
        <f>+G67/$G$7</f>
        <v>0.03207921015818042</v>
      </c>
      <c r="I67" s="179">
        <f>SUMIF('Prog-IV Detalle'!$A$6:$A$7,A67,'Prog-IV Detalle'!$C$6:$C$7)</f>
        <v>0</v>
      </c>
      <c r="J67" s="178">
        <f>+I67/$I$7</f>
        <v>0</v>
      </c>
      <c r="K67" s="177">
        <f>+C67++E67+G67+I67</f>
        <v>184308852.55</v>
      </c>
      <c r="L67" s="180">
        <f>+K67/$K$7</f>
        <v>0.17533868049901266</v>
      </c>
    </row>
    <row r="68" spans="1:12" s="174" customFormat="1" ht="16.5" customHeight="1">
      <c r="A68" s="200">
        <v>8</v>
      </c>
      <c r="B68" s="201" t="s">
        <v>138</v>
      </c>
      <c r="C68" s="181">
        <f>+C69</f>
        <v>0</v>
      </c>
      <c r="D68" s="182">
        <f t="shared" si="12"/>
        <v>0</v>
      </c>
      <c r="E68" s="181">
        <f>+E69</f>
        <v>0</v>
      </c>
      <c r="F68" s="182">
        <f>+F69</f>
        <v>0</v>
      </c>
      <c r="G68" s="181"/>
      <c r="H68" s="182">
        <f t="shared" si="13"/>
        <v>0</v>
      </c>
      <c r="I68" s="181">
        <f>+I69</f>
        <v>0</v>
      </c>
      <c r="J68" s="182">
        <f t="shared" si="14"/>
        <v>0</v>
      </c>
      <c r="K68" s="181">
        <f>+C68+E68+G68+I68</f>
        <v>0</v>
      </c>
      <c r="L68" s="183">
        <f t="shared" si="15"/>
        <v>0</v>
      </c>
    </row>
    <row r="69" spans="1:12" ht="29.25" customHeight="1">
      <c r="A69" s="175" t="s">
        <v>97</v>
      </c>
      <c r="B69" s="176" t="s">
        <v>7</v>
      </c>
      <c r="C69" s="177">
        <f>SUMIF('Prog-I Detalle'!$A$12:$A$13,A69,'Prog-I Detalle'!$C$12:$C$13)</f>
        <v>0</v>
      </c>
      <c r="D69" s="178">
        <f t="shared" si="12"/>
        <v>0</v>
      </c>
      <c r="E69" s="177">
        <f>SUMIF('Prog-II Detalle'!$A$6:$A$54,A69,'Prog-II Detalle'!$C$6:$C$54)</f>
        <v>0</v>
      </c>
      <c r="F69" s="185">
        <f>+E69/$E$7</f>
        <v>0</v>
      </c>
      <c r="G69" s="177">
        <f>SUMIF('Prog-III Detalle'!$A$6:$A$25,A69,'Prog-III Detalle'!$C$6:$C$25)</f>
        <v>0</v>
      </c>
      <c r="H69" s="178">
        <f t="shared" si="13"/>
        <v>0</v>
      </c>
      <c r="I69" s="179">
        <f>SUMIF('Prog-IV Detalle'!$A$6:$A$7,A69,'Prog-IV Detalle'!$C$6:$C$7)</f>
        <v>0</v>
      </c>
      <c r="J69" s="178">
        <f t="shared" si="14"/>
        <v>0</v>
      </c>
      <c r="K69" s="177">
        <f>+C69++E69+G69+I69</f>
        <v>0</v>
      </c>
      <c r="L69" s="180">
        <f t="shared" si="15"/>
        <v>0</v>
      </c>
    </row>
    <row r="70" spans="1:12" s="174" customFormat="1" ht="16.5" customHeight="1">
      <c r="A70" s="200">
        <v>9</v>
      </c>
      <c r="B70" s="201" t="s">
        <v>12</v>
      </c>
      <c r="C70" s="181">
        <f>SUM(C71:C71)</f>
        <v>0</v>
      </c>
      <c r="D70" s="182">
        <f t="shared" si="12"/>
        <v>0</v>
      </c>
      <c r="E70" s="181">
        <f>SUM(E71:E71)</f>
        <v>0</v>
      </c>
      <c r="F70" s="182">
        <f>+E70/$E$7</f>
        <v>0</v>
      </c>
      <c r="G70" s="181">
        <f>SUM(G71:G71)</f>
        <v>0</v>
      </c>
      <c r="H70" s="182">
        <f t="shared" si="13"/>
        <v>0</v>
      </c>
      <c r="I70" s="181">
        <f>SUM(I71:I71)</f>
        <v>0</v>
      </c>
      <c r="J70" s="182">
        <f t="shared" si="14"/>
        <v>0</v>
      </c>
      <c r="K70" s="181">
        <f>+C70+E70+G70+I70</f>
        <v>0</v>
      </c>
      <c r="L70" s="183">
        <f t="shared" si="15"/>
        <v>0</v>
      </c>
    </row>
    <row r="71" spans="1:12" ht="26.25" thickBot="1">
      <c r="A71" s="188" t="s">
        <v>98</v>
      </c>
      <c r="B71" s="189" t="s">
        <v>8</v>
      </c>
      <c r="C71" s="190">
        <f>SUMIF('Prog-I Detalle'!$A$12:$A$13,A71,'Prog-I Detalle'!$C$12:$C$13)</f>
        <v>0</v>
      </c>
      <c r="D71" s="191">
        <f t="shared" si="12"/>
        <v>0</v>
      </c>
      <c r="E71" s="190">
        <f>SUMIF('Prog-II Detalle'!$A$6:$A$54,A71,'Prog-II Detalle'!$C$6:$C$54)</f>
        <v>0</v>
      </c>
      <c r="F71" s="192">
        <f>+E71/$E$7</f>
        <v>0</v>
      </c>
      <c r="G71" s="190">
        <f>SUMIF('Prog-III Detalle'!$A$6:$A$25,A71,'Prog-III Detalle'!$C$6:$C$25)</f>
        <v>0</v>
      </c>
      <c r="H71" s="191">
        <f t="shared" si="13"/>
        <v>0</v>
      </c>
      <c r="I71" s="190">
        <f>SUMIF('Prog-I Detalle'!$A$12:$A$13,G71,'Prog-I Detalle'!$C$12:$C$13)</f>
        <v>0</v>
      </c>
      <c r="J71" s="191">
        <f t="shared" si="14"/>
        <v>0</v>
      </c>
      <c r="K71" s="190">
        <f>+C71++E71+G71+I71</f>
        <v>0</v>
      </c>
      <c r="L71" s="193">
        <f t="shared" si="15"/>
        <v>0</v>
      </c>
    </row>
    <row r="72" ht="12.75">
      <c r="I72" s="177"/>
    </row>
    <row r="73" ht="12.75">
      <c r="I73" s="177"/>
    </row>
    <row r="74" ht="12.75">
      <c r="I74" s="177"/>
    </row>
    <row r="75" ht="12.75">
      <c r="I75" s="177"/>
    </row>
  </sheetData>
  <sheetProtection/>
  <mergeCells count="3">
    <mergeCell ref="A1:L1"/>
    <mergeCell ref="A2:L2"/>
    <mergeCell ref="A3:L3"/>
  </mergeCells>
  <printOptions horizontalCentered="1"/>
  <pageMargins left="0.143700787" right="0.143700787" top="0.196850393700787" bottom="0.19685039370078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tabColor indexed="11"/>
  </sheetPr>
  <dimension ref="A1:I48"/>
  <sheetViews>
    <sheetView showGridLines="0" zoomScalePageLayoutView="0" workbookViewId="0" topLeftCell="A4">
      <selection activeCell="A3" sqref="A3:G3"/>
    </sheetView>
  </sheetViews>
  <sheetFormatPr defaultColWidth="9.140625" defaultRowHeight="12.75"/>
  <cols>
    <col min="1" max="1" width="7.140625" style="0" customWidth="1"/>
    <col min="2" max="2" width="35.8515625" style="0" customWidth="1"/>
    <col min="3" max="3" width="17.7109375" style="0" customWidth="1"/>
    <col min="4" max="4" width="15.140625" style="0" customWidth="1"/>
    <col min="5" max="5" width="18.140625" style="0" customWidth="1"/>
    <col min="6" max="6" width="14.8515625" style="0" customWidth="1"/>
    <col min="7" max="7" width="16.7109375" style="0" customWidth="1"/>
    <col min="8" max="8" width="9.140625" style="0" customWidth="1"/>
    <col min="9" max="9" width="11.7109375" style="0" bestFit="1" customWidth="1"/>
  </cols>
  <sheetData>
    <row r="1" spans="1:7" ht="12.75">
      <c r="A1" s="468" t="str">
        <f>+'Gral. de Egresos'!A1</f>
        <v>MUNICIPALIDAD DE SANTA ANA</v>
      </c>
      <c r="B1" s="468"/>
      <c r="C1" s="468"/>
      <c r="D1" s="468"/>
      <c r="E1" s="468"/>
      <c r="F1" s="468"/>
      <c r="G1" s="468"/>
    </row>
    <row r="2" spans="1:7" ht="12.75">
      <c r="A2" s="469" t="s">
        <v>258</v>
      </c>
      <c r="B2" s="468"/>
      <c r="C2" s="468"/>
      <c r="D2" s="468"/>
      <c r="E2" s="468"/>
      <c r="F2" s="468"/>
      <c r="G2" s="468"/>
    </row>
    <row r="3" spans="1:7" ht="12.75">
      <c r="A3" s="468" t="s">
        <v>44</v>
      </c>
      <c r="B3" s="468"/>
      <c r="C3" s="468"/>
      <c r="D3" s="468"/>
      <c r="E3" s="468"/>
      <c r="F3" s="468"/>
      <c r="G3" s="468"/>
    </row>
    <row r="4" spans="1:7" ht="12.75">
      <c r="A4" s="468" t="s">
        <v>45</v>
      </c>
      <c r="B4" s="468"/>
      <c r="C4" s="468"/>
      <c r="D4" s="468"/>
      <c r="E4" s="468"/>
      <c r="F4" s="468"/>
      <c r="G4" s="468"/>
    </row>
    <row r="6" spans="1:7" ht="51">
      <c r="A6" s="157"/>
      <c r="B6" s="157"/>
      <c r="C6" s="158" t="s">
        <v>80</v>
      </c>
      <c r="D6" s="158" t="s">
        <v>67</v>
      </c>
      <c r="E6" s="158" t="s">
        <v>68</v>
      </c>
      <c r="F6" s="158" t="s">
        <v>122</v>
      </c>
      <c r="G6" s="158" t="s">
        <v>69</v>
      </c>
    </row>
    <row r="7" spans="1:7" s="5" customFormat="1" ht="12.75">
      <c r="A7" s="3"/>
      <c r="B7" s="3"/>
      <c r="C7" s="4"/>
      <c r="D7" s="4"/>
      <c r="E7" s="4"/>
      <c r="F7" s="4"/>
      <c r="G7" s="4"/>
    </row>
    <row r="8" spans="1:7" ht="18" customHeight="1">
      <c r="A8" s="202"/>
      <c r="B8" s="203" t="s">
        <v>64</v>
      </c>
      <c r="C8" s="204">
        <f>SUM(C10:C28)</f>
        <v>87813787.37</v>
      </c>
      <c r="D8" s="204">
        <f>SUM(D10:D28)</f>
        <v>151765757.09</v>
      </c>
      <c r="E8" s="204">
        <f>SUM(E10:E28)</f>
        <v>779320933.3</v>
      </c>
      <c r="F8" s="204">
        <f>+'Gral y X Prog.'!I7</f>
        <v>32258639.130000006</v>
      </c>
      <c r="G8" s="205">
        <f>SUM(G10:G28)</f>
        <v>1051159116.8899999</v>
      </c>
    </row>
    <row r="9" spans="1:9" ht="12.75">
      <c r="A9" s="6"/>
      <c r="B9" s="7"/>
      <c r="C9" s="12" t="s">
        <v>70</v>
      </c>
      <c r="D9" s="12"/>
      <c r="E9" s="12"/>
      <c r="F9" s="12"/>
      <c r="G9" s="10"/>
      <c r="I9" s="52"/>
    </row>
    <row r="10" spans="1:7" ht="15" customHeight="1">
      <c r="A10" s="6">
        <v>0</v>
      </c>
      <c r="B10" s="7" t="s">
        <v>37</v>
      </c>
      <c r="C10" s="12">
        <f>+'Gral y X Prog.'!C8</f>
        <v>0</v>
      </c>
      <c r="D10" s="12">
        <f>+'Gral y X Prog.'!E8</f>
        <v>3872654.0300000003</v>
      </c>
      <c r="E10" s="12">
        <f>+'Gral y X Prog.'!G8</f>
        <v>0</v>
      </c>
      <c r="F10" s="12">
        <f>+'Gral y X Prog.'!I8</f>
        <v>0</v>
      </c>
      <c r="G10" s="15">
        <f>+C10+D10+E10+F10</f>
        <v>3872654.0300000003</v>
      </c>
    </row>
    <row r="11" spans="1:7" ht="12.75">
      <c r="A11" s="6"/>
      <c r="B11" s="7"/>
      <c r="C11" s="12"/>
      <c r="D11" s="12"/>
      <c r="E11" s="12"/>
      <c r="F11" s="12"/>
      <c r="G11" s="15"/>
    </row>
    <row r="12" spans="1:7" ht="15" customHeight="1">
      <c r="A12" s="6">
        <v>1</v>
      </c>
      <c r="B12" s="7" t="s">
        <v>38</v>
      </c>
      <c r="C12" s="12">
        <f>'Gral y X Prog.'!C18</f>
        <v>72000000</v>
      </c>
      <c r="D12" s="12">
        <f>'Gral y X Prog.'!E18</f>
        <v>90977806.72</v>
      </c>
      <c r="E12" s="12">
        <f>+'Gral y X Prog.'!G18</f>
        <v>26000000</v>
      </c>
      <c r="F12" s="12">
        <f>+'Gral y X Prog.'!I18</f>
        <v>970127.38</v>
      </c>
      <c r="G12" s="15">
        <f>+C12+D12+E12+F12</f>
        <v>189947934.1</v>
      </c>
    </row>
    <row r="13" spans="1:7" ht="12.75">
      <c r="A13" s="6"/>
      <c r="B13" s="7"/>
      <c r="C13" s="12"/>
      <c r="D13" s="12"/>
      <c r="E13" s="12"/>
      <c r="F13" s="12"/>
      <c r="G13" s="15"/>
    </row>
    <row r="14" spans="1:7" ht="15" customHeight="1">
      <c r="A14" s="6">
        <v>2</v>
      </c>
      <c r="B14" s="7" t="s">
        <v>39</v>
      </c>
      <c r="C14" s="12">
        <f>+'Gral y X Prog.'!C30</f>
        <v>0</v>
      </c>
      <c r="D14" s="12">
        <f>+'Gral y X Prog.'!E30</f>
        <v>20540220.81</v>
      </c>
      <c r="E14" s="12">
        <f>+'Gral y X Prog.'!G30</f>
        <v>0</v>
      </c>
      <c r="F14" s="12">
        <f>+'Gral y X Prog.'!I30</f>
        <v>55505.9</v>
      </c>
      <c r="G14" s="15">
        <f>+C14+D14+E14+F14</f>
        <v>20595726.709999997</v>
      </c>
    </row>
    <row r="15" spans="1:7" ht="12.75">
      <c r="A15" s="6"/>
      <c r="B15" s="7"/>
      <c r="C15" s="12"/>
      <c r="D15" s="12"/>
      <c r="E15" s="12"/>
      <c r="F15" s="12"/>
      <c r="G15" s="15"/>
    </row>
    <row r="16" spans="1:7" ht="15" customHeight="1">
      <c r="A16" s="6">
        <v>3</v>
      </c>
      <c r="B16" s="7" t="s">
        <v>40</v>
      </c>
      <c r="C16" s="12">
        <f>+'Gral y X Prog.'!C42</f>
        <v>0</v>
      </c>
      <c r="D16" s="12">
        <f>+'Gral y X Prog.'!E42</f>
        <v>0</v>
      </c>
      <c r="E16" s="12">
        <f>+'Gral y X Prog.'!G42</f>
        <v>0</v>
      </c>
      <c r="F16" s="12">
        <f>+'Gral y X Prog.'!I42</f>
        <v>0</v>
      </c>
      <c r="G16" s="15">
        <f>+C16+D16+E16+F16</f>
        <v>0</v>
      </c>
    </row>
    <row r="17" spans="1:7" ht="12.75">
      <c r="A17" s="6"/>
      <c r="B17" s="7"/>
      <c r="C17" s="12"/>
      <c r="D17" s="12"/>
      <c r="E17" s="12"/>
      <c r="F17" s="12"/>
      <c r="G17" s="15"/>
    </row>
    <row r="18" spans="1:7" ht="15.75" customHeight="1">
      <c r="A18" s="6">
        <v>4</v>
      </c>
      <c r="B18" s="7" t="s">
        <v>65</v>
      </c>
      <c r="C18" s="12">
        <v>0</v>
      </c>
      <c r="D18" s="12">
        <v>0</v>
      </c>
      <c r="E18" s="12">
        <v>0</v>
      </c>
      <c r="F18" s="12">
        <v>0</v>
      </c>
      <c r="G18" s="15">
        <f>+C18+D18+E18+F18</f>
        <v>0</v>
      </c>
    </row>
    <row r="19" spans="1:7" ht="12.75">
      <c r="A19" s="6"/>
      <c r="B19" s="7"/>
      <c r="C19" s="12"/>
      <c r="D19" s="12"/>
      <c r="E19" s="12"/>
      <c r="F19" s="12"/>
      <c r="G19" s="15"/>
    </row>
    <row r="20" spans="1:7" ht="15" customHeight="1">
      <c r="A20" s="6">
        <v>5</v>
      </c>
      <c r="B20" s="7" t="s">
        <v>24</v>
      </c>
      <c r="C20" s="12">
        <f>+'Gral y X Prog.'!C44</f>
        <v>3000000</v>
      </c>
      <c r="D20" s="12">
        <f>+'Gral y X Prog.'!E44</f>
        <v>-188185038.31</v>
      </c>
      <c r="E20" s="12">
        <f>+'Gral y X Prog.'!G44</f>
        <v>628320933.3</v>
      </c>
      <c r="F20" s="12">
        <f>+'Gral y X Prog.'!I44</f>
        <v>31233005.850000005</v>
      </c>
      <c r="G20" s="15">
        <f>+C20+D20+E20+F20</f>
        <v>474368900.84</v>
      </c>
    </row>
    <row r="21" spans="1:7" ht="12.75">
      <c r="A21" s="6"/>
      <c r="B21" s="7"/>
      <c r="C21" s="12"/>
      <c r="D21" s="12"/>
      <c r="E21" s="12"/>
      <c r="F21" s="12"/>
      <c r="G21" s="15"/>
    </row>
    <row r="22" spans="1:7" ht="15" customHeight="1">
      <c r="A22" s="6">
        <v>6</v>
      </c>
      <c r="B22" s="7" t="s">
        <v>41</v>
      </c>
      <c r="C22" s="12">
        <f>'Gral y X Prog.'!C57</f>
        <v>12813787.370000001</v>
      </c>
      <c r="D22" s="12">
        <f>+'Gral y X Prog.'!E57</f>
        <v>53251261.29</v>
      </c>
      <c r="E22" s="12">
        <f>+'Gral y X Prog.'!G57</f>
        <v>0</v>
      </c>
      <c r="F22" s="12">
        <f>+'Gral y X Prog.'!I57</f>
        <v>0</v>
      </c>
      <c r="G22" s="15">
        <f>+C22+D22+E22+F22</f>
        <v>66065048.66</v>
      </c>
    </row>
    <row r="23" spans="1:7" ht="12.75">
      <c r="A23" s="6"/>
      <c r="B23" s="7"/>
      <c r="C23" s="12"/>
      <c r="D23" s="12"/>
      <c r="E23" s="12"/>
      <c r="F23" s="12"/>
      <c r="G23" s="15"/>
    </row>
    <row r="24" spans="1:7" ht="15" customHeight="1">
      <c r="A24" s="6">
        <v>7</v>
      </c>
      <c r="B24" s="7" t="s">
        <v>42</v>
      </c>
      <c r="C24" s="12">
        <f>+'Gral y X Prog.'!C64</f>
        <v>0</v>
      </c>
      <c r="D24" s="12">
        <f>+'Gral y X Prog.'!E64</f>
        <v>171308852.55</v>
      </c>
      <c r="E24" s="12">
        <f>+'Gral y X Prog.'!G64</f>
        <v>125000000</v>
      </c>
      <c r="F24" s="12">
        <f>+'Gral y X Prog.'!I64</f>
        <v>0</v>
      </c>
      <c r="G24" s="15">
        <f>+C24+D24+E24+F24</f>
        <v>296308852.55</v>
      </c>
    </row>
    <row r="25" spans="1:7" ht="13.5" customHeight="1">
      <c r="A25" s="6"/>
      <c r="B25" s="7"/>
      <c r="C25" s="12"/>
      <c r="D25" s="12"/>
      <c r="E25" s="12"/>
      <c r="F25" s="12"/>
      <c r="G25" s="15"/>
    </row>
    <row r="26" spans="1:7" ht="15.75" customHeight="1">
      <c r="A26" s="6">
        <v>8</v>
      </c>
      <c r="B26" s="7" t="s">
        <v>43</v>
      </c>
      <c r="C26" s="12">
        <f>+'Gral y X Prog.'!C68</f>
        <v>0</v>
      </c>
      <c r="D26" s="12">
        <f>+'Gral y X Prog.'!E68</f>
        <v>0</v>
      </c>
      <c r="E26" s="12">
        <f>+'Gral y X Prog.'!G68</f>
        <v>0</v>
      </c>
      <c r="F26" s="12">
        <f>+'Gral y X Prog.'!I68</f>
        <v>0</v>
      </c>
      <c r="G26" s="15">
        <f>+C26+D26+E26+F26</f>
        <v>0</v>
      </c>
    </row>
    <row r="27" spans="1:7" ht="12.75">
      <c r="A27" s="6"/>
      <c r="B27" s="7"/>
      <c r="C27" s="12"/>
      <c r="D27" s="12"/>
      <c r="E27" s="12"/>
      <c r="F27" s="12"/>
      <c r="G27" s="15"/>
    </row>
    <row r="28" spans="1:7" ht="15" customHeight="1">
      <c r="A28" s="6">
        <v>9</v>
      </c>
      <c r="B28" s="7" t="s">
        <v>66</v>
      </c>
      <c r="C28" s="12">
        <f>+'Gral y X Prog.'!C70</f>
        <v>0</v>
      </c>
      <c r="D28" s="12">
        <f>+'Gral y X Prog.'!E70</f>
        <v>0</v>
      </c>
      <c r="E28" s="12">
        <f>+'Gral y X Prog.'!G70</f>
        <v>0</v>
      </c>
      <c r="F28" s="12">
        <v>0</v>
      </c>
      <c r="G28" s="15">
        <f>+C28+D28+E28+F28</f>
        <v>0</v>
      </c>
    </row>
    <row r="29" spans="1:7" ht="12.75">
      <c r="A29" s="11"/>
      <c r="B29" s="8"/>
      <c r="C29" s="8"/>
      <c r="D29" s="8"/>
      <c r="E29" s="8"/>
      <c r="F29" s="8"/>
      <c r="G29" s="9"/>
    </row>
    <row r="30" ht="12.75">
      <c r="D30" s="1"/>
    </row>
    <row r="34" ht="12.75">
      <c r="E34" s="1"/>
    </row>
    <row r="48" ht="12.75">
      <c r="G48" s="1"/>
    </row>
  </sheetData>
  <sheetProtection/>
  <mergeCells count="4">
    <mergeCell ref="A1:G1"/>
    <mergeCell ref="A2:G2"/>
    <mergeCell ref="A3:G3"/>
    <mergeCell ref="A4:G4"/>
  </mergeCells>
  <printOptions horizontalCentered="1"/>
  <pageMargins left="0.7874015748031497" right="0.7874015748031497" top="0.7480314960629921" bottom="0.984251968503937" header="0" footer="0"/>
  <pageSetup horizontalDpi="600" verticalDpi="600" orientation="portrait" scale="70" r:id="rId2"/>
  <ignoredErrors>
    <ignoredError sqref="F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Rebeca Vasquez</cp:lastModifiedBy>
  <cp:lastPrinted>2018-04-24T18:08:09Z</cp:lastPrinted>
  <dcterms:created xsi:type="dcterms:W3CDTF">1996-11-27T10:00:04Z</dcterms:created>
  <dcterms:modified xsi:type="dcterms:W3CDTF">2018-08-13T18:07:58Z</dcterms:modified>
  <cp:category/>
  <cp:version/>
  <cp:contentType/>
  <cp:contentStatus/>
</cp:coreProperties>
</file>